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CDownloads\"/>
    </mc:Choice>
  </mc:AlternateContent>
  <bookViews>
    <workbookView xWindow="120" yWindow="45" windowWidth="15135" windowHeight="7110"/>
  </bookViews>
  <sheets>
    <sheet name="input absen 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_IntlFixup" hidden="1">TRUE</definedName>
    <definedName name="_1" hidden="1">#REF!</definedName>
    <definedName name="_2" hidden="1">#REF!</definedName>
    <definedName name="_Fill" hidden="1">#REF!</definedName>
    <definedName name="_xlnm._FilterDatabase" localSheetId="0" hidden="1">'input absen '!$A$2:$Y$10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nscount" hidden="1">1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mcount" hidden="1">1</definedName>
    <definedName name="sencount" hidden="1">1</definedName>
  </definedNames>
  <calcPr calcId="152511"/>
</workbook>
</file>

<file path=xl/calcChain.xml><?xml version="1.0" encoding="utf-8"?>
<calcChain xmlns="http://schemas.openxmlformats.org/spreadsheetml/2006/main">
  <c r="N10" i="4" l="1"/>
  <c r="W7" i="4"/>
  <c r="W8" i="4"/>
  <c r="W9" i="4"/>
  <c r="V7" i="4"/>
  <c r="V8" i="4"/>
  <c r="V10" i="4"/>
  <c r="V6" i="4"/>
  <c r="R6" i="4"/>
  <c r="S7" i="4"/>
  <c r="S8" i="4"/>
  <c r="S10" i="4"/>
  <c r="U10" i="4" s="1"/>
  <c r="S6" i="4"/>
  <c r="U8" i="4"/>
  <c r="U7" i="4"/>
  <c r="U6" i="4"/>
  <c r="W18" i="4"/>
  <c r="T16" i="1"/>
  <c r="W16" i="4"/>
  <c r="R12" i="1"/>
  <c r="S12" i="1"/>
  <c r="Q19" i="1"/>
  <c r="R19" i="1" s="1"/>
  <c r="W12" i="4"/>
  <c r="B14" i="4"/>
  <c r="A14" i="4"/>
  <c r="X7" i="4"/>
  <c r="L7" i="4"/>
  <c r="M7" i="4" s="1"/>
  <c r="N7" i="4" s="1"/>
  <c r="E7" i="4"/>
  <c r="B7" i="4"/>
  <c r="L9" i="4"/>
  <c r="M9" i="4" s="1"/>
  <c r="X8" i="4" l="1"/>
  <c r="X9" i="4"/>
  <c r="N9" i="4" s="1"/>
  <c r="X10" i="4"/>
  <c r="X6" i="4"/>
  <c r="O7" i="4" l="1"/>
  <c r="P7" i="4" s="1"/>
  <c r="L8" i="4"/>
  <c r="M8" i="4" s="1"/>
  <c r="N8" i="4" s="1"/>
  <c r="L10" i="4"/>
  <c r="M10" i="4" s="1"/>
  <c r="L6" i="4"/>
  <c r="M6" i="4" s="1"/>
  <c r="N6" i="4" s="1"/>
  <c r="L12" i="1"/>
  <c r="E10" i="4"/>
  <c r="B10" i="4"/>
  <c r="E9" i="4"/>
  <c r="B9" i="4"/>
  <c r="E8" i="4"/>
  <c r="B8" i="4"/>
  <c r="A8" i="4"/>
  <c r="E6" i="4"/>
  <c r="B6" i="4"/>
  <c r="G7" i="1"/>
  <c r="G6" i="1"/>
  <c r="G5" i="1"/>
  <c r="A9" i="4" l="1"/>
  <c r="A10" i="4" s="1"/>
  <c r="A7" i="4"/>
  <c r="Q7" i="4"/>
  <c r="R7" i="4" s="1"/>
  <c r="O6" i="4"/>
  <c r="P6" i="4" s="1"/>
  <c r="O9" i="4"/>
  <c r="O8" i="4"/>
  <c r="P8" i="4" s="1"/>
  <c r="O10" i="4"/>
  <c r="P9" i="4" l="1"/>
  <c r="P10" i="4"/>
  <c r="Q6" i="4"/>
  <c r="Q9" i="4"/>
  <c r="R9" i="4" s="1"/>
  <c r="Q8" i="4"/>
  <c r="R8" i="4" s="1"/>
  <c r="Q10" i="4"/>
  <c r="R10" i="4" s="1"/>
  <c r="N14" i="4" l="1"/>
  <c r="W14" i="4" s="1"/>
  <c r="S9" i="4"/>
  <c r="U9" i="4" s="1"/>
  <c r="V9" i="4" s="1"/>
  <c r="T7" i="4"/>
  <c r="T6" i="4"/>
  <c r="T8" i="4"/>
  <c r="T9" i="4" l="1"/>
  <c r="T10" i="4"/>
  <c r="W10" i="4" s="1"/>
  <c r="W6" i="4"/>
  <c r="G8" i="1" l="1"/>
  <c r="G9" i="1" s="1"/>
</calcChain>
</file>

<file path=xl/comments1.xml><?xml version="1.0" encoding="utf-8"?>
<comments xmlns="http://schemas.openxmlformats.org/spreadsheetml/2006/main">
  <authors>
    <author>Admin</author>
  </authors>
  <commentList>
    <comment ref="T12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289.02 x 30 menit = 13.006</t>
        </r>
      </text>
    </comment>
    <comment ref="O16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setelah jam ke tujuh, jam ke delapan menjadi 3x</t>
        </r>
      </text>
    </comment>
    <comment ref="R16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setelah jam ke delapan, jam ke sembilan dan sepuluh menjadi 4x</t>
        </r>
      </text>
    </comment>
    <comment ref="T16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setelah jam ke delapan, jam ke sembilan dan sepuluh menjadi 4x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setelah jam ke enam, upah menjadi 3x upah sejam</t>
        </r>
      </text>
    </comment>
    <comment ref="R18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setelah jam ke tujuh, dan jam kedelapan menjadi 4x upah sejam</t>
        </r>
      </text>
    </comment>
    <comment ref="T18" authorId="0" shape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setelah jam ke tujuh, dan jam kedelapan menjadi 4x upah sejam</t>
        </r>
      </text>
    </comment>
  </commentList>
</comments>
</file>

<file path=xl/sharedStrings.xml><?xml version="1.0" encoding="utf-8"?>
<sst xmlns="http://schemas.openxmlformats.org/spreadsheetml/2006/main" count="138" uniqueCount="104">
  <si>
    <t>Nama</t>
  </si>
  <si>
    <t>Total Hari Kerja Normal 26</t>
  </si>
  <si>
    <t>Masuk Normal</t>
  </si>
  <si>
    <t>Absen</t>
  </si>
  <si>
    <t>Hari</t>
  </si>
  <si>
    <t>Uang Makan/hari</t>
  </si>
  <si>
    <t>Uang Transport/hari</t>
  </si>
  <si>
    <t>Uang Kehadiran</t>
  </si>
  <si>
    <t>Uang Lembur</t>
  </si>
  <si>
    <t>Total Gaji</t>
  </si>
  <si>
    <t>Tarip Lembur perjam hari biasa</t>
  </si>
  <si>
    <t>1st</t>
  </si>
  <si>
    <t>Per-Menit Jam 1</t>
  </si>
  <si>
    <t>2nd</t>
  </si>
  <si>
    <t>Tarip Lembur Minggu Libur :</t>
  </si>
  <si>
    <t>Jam 1 s/d Jam Ke tujuh</t>
  </si>
  <si>
    <t>Jam ke 8</t>
  </si>
  <si>
    <t>No</t>
  </si>
  <si>
    <t>ID</t>
  </si>
  <si>
    <t xml:space="preserve">Nama </t>
  </si>
  <si>
    <t>Tanggal</t>
  </si>
  <si>
    <t xml:space="preserve">Schedule </t>
  </si>
  <si>
    <t>Base on Check lock Time</t>
  </si>
  <si>
    <t>kategori</t>
  </si>
  <si>
    <t>Status</t>
  </si>
  <si>
    <t>JM</t>
  </si>
  <si>
    <t>JP</t>
  </si>
  <si>
    <t>CI</t>
  </si>
  <si>
    <t>CO</t>
  </si>
  <si>
    <t>Ari</t>
  </si>
  <si>
    <t>2/25/2015</t>
  </si>
  <si>
    <t>2/26/2015</t>
  </si>
  <si>
    <t>2/27/2015</t>
  </si>
  <si>
    <t>2/28/2015</t>
  </si>
  <si>
    <t>Approved</t>
  </si>
  <si>
    <t>Ketentuan:</t>
  </si>
  <si>
    <t xml:space="preserve">Misal: </t>
  </si>
  <si>
    <t>1. Ketentuan penggajian karyawan setiap tanggal 25 setiap bulannya</t>
  </si>
  <si>
    <t>Hari biasa(bukan hari merah)</t>
  </si>
  <si>
    <t>2. Senin s/d Jumat Jam kerja jam 10:00-18:00, sabtu jam kerja jam 08:00-09:00</t>
  </si>
  <si>
    <t>3. Bila karyawan bekerja dalam hari kerja (senin s/d jumat) dan tidak hari libur maka seperti dibawah ini</t>
  </si>
  <si>
    <t>*u/ bberapa kasus jam kerja tiap karyawan bs dibedakan tiap karyawan</t>
  </si>
  <si>
    <t>Ari masuk jam 10:00 s/d jam 18:00 berarti tidak dapat lembur</t>
  </si>
  <si>
    <t>*setiap ada lembur selalu ada info lembur</t>
  </si>
  <si>
    <t>Lembur Biasa</t>
  </si>
  <si>
    <t>Lembur Hari Merah</t>
  </si>
  <si>
    <t>Kalo masuk jam kerja jam 10:00 s/d jam 19:30 asal ada perintah kerja lembur maka perhitungan lembur (mengacu diatas) maka:</t>
  </si>
  <si>
    <t>Jenis Kerja Lembur</t>
  </si>
  <si>
    <t>Waktu Kerja 7 Jam Sehari dan 40 Jam Seminggu</t>
  </si>
  <si>
    <t>   Pada hari kerja</t>
  </si>
  <si>
    <t>Untuk jam kerja lembur pertama dibayar upah sebesar 1,5 kali upah  sejam.Untuk setiap jam kerja lembur berikutnya harus dibayar upah sebesar 2 kali upah sejam</t>
  </si>
  <si>
    <t> Pada hari istirahat  mingguan   dan/atau hari libur resmi</t>
  </si>
  <si>
    <t>7 jam pertama dibayar 2 kali upah sejam</t>
  </si>
  <si>
    <t>Jam kedelapan dibayar 3 kali upah sejam</t>
  </si>
  <si>
    <t>Jam  kesembilan dan kesepuluh dibayar 4 kali upah sejam</t>
  </si>
  <si>
    <t> Pada hari libur resmi jatuh pada  hari kerja terpendek</t>
  </si>
  <si>
    <t>5 jam pertama dibayar 2 kali upah sejam</t>
  </si>
  <si>
    <t>Jam keenam dibayar 3 kali upah sejam</t>
  </si>
  <si>
    <t>Jam ketujuh dan kedelapan dibayar 4 kali upah sejam</t>
  </si>
  <si>
    <t xml:space="preserve">Ari mendapatkan lembur 13.006 dan 30menit x @216.766= 19.509 untuk jam pertama, </t>
  </si>
  <si>
    <t>Kalo masuk  hari libur jatuh pada hari (senin s/d jumat)misal jam kerja untuk hari libur 08:00 s/d 13:00 sedang ari pulang jam 15:30 maka untuk tujuh jam pertama akan dikalikan 2x upah sejam (7x17.341) kemudian untuk 30 menit berikutnya dikalikan upah 433.53 total 134.393.18</t>
  </si>
  <si>
    <t>tapi bila misalkan lemburnya sampai jam 20.30 maka ari mendapatkan (1jam x jam pertama 13.006 ) dan lembur berikutnya (1jam x jam kedua 17.341) dan (30menit x@289.02)total 39.017</t>
  </si>
  <si>
    <t>Jam kerja normal tidak dapat lembur</t>
  </si>
  <si>
    <t>jam kerja 10:00-19:30</t>
  </si>
  <si>
    <t>jam kerja 10:00-20:30</t>
  </si>
  <si>
    <t>Jam kerja 08:00-15:30 (jatuh pada hari senin s/d jumat)</t>
  </si>
  <si>
    <t>Kalo masuk  hari libur jatuh pada hari (senin s/d jumat)misal jam kerja untuk hari libur 08:00 s/d 13:00 sedang ari pulang jam 15:30 maka untuk 5 jam pertama akan dikalikan 2x upah sejam (5x17.341) kemudian untuk jam keenam dan berikutnya jam ketujuh sedang 30 menit berikutnya dikalikan upah 433.53 total 134.393.18</t>
  </si>
  <si>
    <t>Tarip Lembur Hari Terpendek (Hari Libur)</t>
  </si>
  <si>
    <t>Jam 1 s/d Jam Ke 5</t>
  </si>
  <si>
    <t>Jam Keenam</t>
  </si>
  <si>
    <t>Jam Ketujuh</t>
  </si>
  <si>
    <t>Jam Kedelapan</t>
  </si>
  <si>
    <t>Upah Lembur per Jam</t>
  </si>
  <si>
    <t>Total Upah Lembur</t>
  </si>
  <si>
    <t xml:space="preserve"> 7 Jam pertama (LHM)</t>
  </si>
  <si>
    <t xml:space="preserve"> 1 Jam pertama (LB)</t>
  </si>
  <si>
    <t xml:space="preserve"> 2 Jam pertama (LB)</t>
  </si>
  <si>
    <t>3 Jam pertama (LB)</t>
  </si>
  <si>
    <t xml:space="preserve"> 4 Jam pertama (LB)</t>
  </si>
  <si>
    <t>8 Jam pertama (LHM)</t>
  </si>
  <si>
    <t>9 Jam pertama (LHM)</t>
  </si>
  <si>
    <t>10 Jam pertama (LHM)</t>
  </si>
  <si>
    <t>Lembur</t>
  </si>
  <si>
    <t>Lembur Terpendek Hari Merah</t>
  </si>
  <si>
    <t xml:space="preserve"> 5 Jam pertama (LTHM)</t>
  </si>
  <si>
    <t>6 Jam pertama (LTHM)</t>
  </si>
  <si>
    <t>8 Jam pertama (LTHM)</t>
  </si>
  <si>
    <t>7 Jam pertama (LTHM)</t>
  </si>
  <si>
    <t>Total Jam Lembur (h:mm)</t>
  </si>
  <si>
    <t>Perhitungan 1</t>
  </si>
  <si>
    <t>Perhitungan 2</t>
  </si>
  <si>
    <t>Perhitungan 3</t>
  </si>
  <si>
    <t>Perhitungan 4</t>
  </si>
  <si>
    <t>Rabu</t>
  </si>
  <si>
    <t>Kamis</t>
  </si>
  <si>
    <t>Jumat</t>
  </si>
  <si>
    <t>Sabtu</t>
  </si>
  <si>
    <t>Lembur biasa=upah jam ke 2 dstnya dibayar 2x upah sejam</t>
  </si>
  <si>
    <t>Jika lembur biasa, lembur berjalan lancar s/d jam ketiga tapi ketika masuk ke jam 3.30, mendadak rumusnya menjadi kacau perhitungan ketiganya menjadi 23.121 dan perhitungan keempat menjadi 11.561, hasil yang saya inginkan ada baris 11</t>
  </si>
  <si>
    <t>Lembur Hari Merah jika pulang sebelum "7 jam pertama" hasil yang saya inginkan seperti dibaris 14</t>
  </si>
  <si>
    <t>Jam ke 9</t>
  </si>
  <si>
    <t>Jam ke 10</t>
  </si>
  <si>
    <t>Lembur hari terpendek jatuh pada hari sabtu</t>
  </si>
  <si>
    <t>Perhitungan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</si>
</sst>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/mm/yy;@"/>
    <numFmt numFmtId="166" formatCode="_([$Rp-421]* #,##0_);_([$Rp-421]* \(#,##0\);_([$Rp-421]* &quot;-&quot;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8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i/>
      <sz val="10"/>
      <color theme="0"/>
      <name val="Century Gothic"/>
      <family val="2"/>
    </font>
    <font>
      <sz val="10"/>
      <color indexed="10"/>
      <name val="Century Gothic"/>
      <family val="2"/>
    </font>
    <font>
      <sz val="10"/>
      <name val="Arial"/>
      <family val="2"/>
    </font>
    <font>
      <b/>
      <sz val="16"/>
      <name val="Century Gothic"/>
      <family val="2"/>
    </font>
    <font>
      <sz val="11"/>
      <color theme="1"/>
      <name val="Calibri"/>
      <family val="2"/>
      <charset val="1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9"/>
      <color theme="0"/>
      <name val="Century Gothic"/>
      <family val="2"/>
    </font>
    <font>
      <b/>
      <i/>
      <sz val="10"/>
      <name val="Century Gothic"/>
      <family val="2"/>
    </font>
    <font>
      <b/>
      <i/>
      <sz val="9"/>
      <color rgb="FF00B050"/>
      <name val="Century Gothic"/>
      <family val="2"/>
    </font>
    <font>
      <b/>
      <i/>
      <sz val="9"/>
      <color rgb="FF7030A0"/>
      <name val="Century Gothic"/>
      <family val="2"/>
    </font>
    <font>
      <b/>
      <i/>
      <sz val="9"/>
      <color rgb="FF0033CC"/>
      <name val="Century Gothic"/>
      <family val="2"/>
    </font>
    <font>
      <b/>
      <i/>
      <sz val="10"/>
      <color theme="1"/>
      <name val="Century Gothic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9" fillId="0" borderId="0"/>
    <xf numFmtId="0" fontId="1" fillId="0" borderId="0"/>
  </cellStyleXfs>
  <cellXfs count="119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5" fillId="3" borderId="4" xfId="0" applyFont="1" applyFill="1" applyBorder="1" applyAlignment="1"/>
    <xf numFmtId="0" fontId="3" fillId="3" borderId="4" xfId="0" applyFont="1" applyFill="1" applyBorder="1"/>
    <xf numFmtId="164" fontId="3" fillId="4" borderId="0" xfId="0" applyNumberFormat="1" applyFont="1" applyFill="1" applyBorder="1"/>
    <xf numFmtId="0" fontId="3" fillId="4" borderId="0" xfId="0" applyFont="1" applyFill="1"/>
    <xf numFmtId="164" fontId="3" fillId="2" borderId="4" xfId="0" applyNumberFormat="1" applyFont="1" applyFill="1" applyBorder="1"/>
    <xf numFmtId="0" fontId="3" fillId="2" borderId="5" xfId="0" applyFont="1" applyFill="1" applyBorder="1"/>
    <xf numFmtId="164" fontId="3" fillId="2" borderId="5" xfId="0" applyNumberFormat="1" applyFont="1" applyFill="1" applyBorder="1"/>
    <xf numFmtId="0" fontId="3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/>
    <xf numFmtId="164" fontId="8" fillId="5" borderId="5" xfId="0" applyNumberFormat="1" applyFont="1" applyFill="1" applyBorder="1"/>
    <xf numFmtId="43" fontId="3" fillId="2" borderId="5" xfId="2" applyFont="1" applyFill="1" applyBorder="1"/>
    <xf numFmtId="0" fontId="3" fillId="4" borderId="0" xfId="0" applyFont="1" applyFill="1" applyBorder="1"/>
    <xf numFmtId="0" fontId="3" fillId="7" borderId="5" xfId="0" applyFont="1" applyFill="1" applyBorder="1" applyAlignment="1">
      <alignment vertical="center"/>
    </xf>
    <xf numFmtId="0" fontId="3" fillId="7" borderId="5" xfId="0" applyFont="1" applyFill="1" applyBorder="1" applyAlignment="1">
      <alignment horizontal="center"/>
    </xf>
    <xf numFmtId="0" fontId="3" fillId="7" borderId="0" xfId="0" applyFont="1" applyFill="1" applyBorder="1"/>
    <xf numFmtId="0" fontId="3" fillId="7" borderId="0" xfId="0" applyFont="1" applyFill="1"/>
    <xf numFmtId="164" fontId="3" fillId="7" borderId="5" xfId="0" applyNumberFormat="1" applyFont="1" applyFill="1" applyBorder="1"/>
    <xf numFmtId="0" fontId="3" fillId="2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43" fontId="3" fillId="0" borderId="0" xfId="2" applyFont="1" applyFill="1" applyBorder="1"/>
    <xf numFmtId="0" fontId="10" fillId="8" borderId="1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3" fillId="10" borderId="5" xfId="0" applyFont="1" applyFill="1" applyBorder="1" applyAlignment="1">
      <alignment wrapText="1"/>
    </xf>
    <xf numFmtId="0" fontId="3" fillId="10" borderId="5" xfId="0" applyFont="1" applyFill="1" applyBorder="1"/>
    <xf numFmtId="43" fontId="3" fillId="7" borderId="5" xfId="0" applyNumberFormat="1" applyFont="1" applyFill="1" applyBorder="1"/>
    <xf numFmtId="0" fontId="12" fillId="0" borderId="0" xfId="3" applyFont="1" applyFill="1"/>
    <xf numFmtId="0" fontId="12" fillId="0" borderId="0" xfId="3" applyFont="1" applyFill="1" applyAlignment="1">
      <alignment vertical="center"/>
    </xf>
    <xf numFmtId="165" fontId="12" fillId="0" borderId="0" xfId="3" applyNumberFormat="1" applyFont="1" applyFill="1" applyAlignment="1">
      <alignment vertical="center"/>
    </xf>
    <xf numFmtId="20" fontId="12" fillId="0" borderId="0" xfId="3" applyNumberFormat="1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20" fontId="13" fillId="7" borderId="5" xfId="3" applyNumberFormat="1" applyFont="1" applyFill="1" applyBorder="1" applyAlignment="1">
      <alignment horizontal="center" vertical="center"/>
    </xf>
    <xf numFmtId="0" fontId="12" fillId="0" borderId="5" xfId="3" applyFont="1" applyFill="1" applyBorder="1"/>
    <xf numFmtId="0" fontId="3" fillId="0" borderId="4" xfId="3" quotePrefix="1" applyNumberFormat="1" applyFont="1" applyBorder="1" applyAlignment="1">
      <alignment horizontal="center"/>
    </xf>
    <xf numFmtId="0" fontId="15" fillId="0" borderId="5" xfId="3" applyFont="1" applyBorder="1" applyAlignment="1">
      <alignment vertical="center"/>
    </xf>
    <xf numFmtId="14" fontId="3" fillId="0" borderId="5" xfId="3" quotePrefix="1" applyNumberFormat="1" applyFont="1" applyFill="1" applyBorder="1" applyAlignment="1"/>
    <xf numFmtId="0" fontId="3" fillId="0" borderId="5" xfId="4" applyFont="1" applyFill="1" applyBorder="1" applyAlignment="1">
      <alignment horizontal="center"/>
    </xf>
    <xf numFmtId="20" fontId="12" fillId="7" borderId="5" xfId="3" quotePrefix="1" applyNumberFormat="1" applyFont="1" applyFill="1" applyBorder="1"/>
    <xf numFmtId="20" fontId="12" fillId="7" borderId="5" xfId="3" applyNumberFormat="1" applyFont="1" applyFill="1" applyBorder="1"/>
    <xf numFmtId="0" fontId="16" fillId="12" borderId="5" xfId="3" applyFont="1" applyFill="1" applyBorder="1" applyAlignment="1">
      <alignment horizontal="center" vertical="center" wrapText="1"/>
    </xf>
    <xf numFmtId="0" fontId="17" fillId="0" borderId="0" xfId="0" applyFont="1"/>
    <xf numFmtId="165" fontId="13" fillId="11" borderId="8" xfId="3" applyNumberFormat="1" applyFont="1" applyFill="1" applyBorder="1" applyAlignment="1">
      <alignment horizontal="center" vertical="center"/>
    </xf>
    <xf numFmtId="165" fontId="13" fillId="11" borderId="10" xfId="3" applyNumberFormat="1" applyFont="1" applyFill="1" applyBorder="1" applyAlignment="1">
      <alignment horizontal="center" vertical="center"/>
    </xf>
    <xf numFmtId="165" fontId="13" fillId="11" borderId="4" xfId="3" applyNumberFormat="1" applyFont="1" applyFill="1" applyBorder="1" applyAlignment="1">
      <alignment horizontal="center" vertical="center"/>
    </xf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11" xfId="0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20" fontId="0" fillId="0" borderId="0" xfId="0" applyNumberFormat="1"/>
    <xf numFmtId="164" fontId="18" fillId="8" borderId="5" xfId="0" applyNumberFormat="1" applyFont="1" applyFill="1" applyBorder="1"/>
    <xf numFmtId="0" fontId="0" fillId="0" borderId="0" xfId="0" quotePrefix="1"/>
    <xf numFmtId="20" fontId="12" fillId="0" borderId="5" xfId="3" applyNumberFormat="1" applyFont="1" applyFill="1" applyBorder="1"/>
    <xf numFmtId="164" fontId="5" fillId="7" borderId="5" xfId="0" applyNumberFormat="1" applyFont="1" applyFill="1" applyBorder="1" applyAlignment="1">
      <alignment horizontal="center" vertical="center"/>
    </xf>
    <xf numFmtId="0" fontId="19" fillId="0" borderId="0" xfId="3" applyNumberFormat="1" applyFont="1" applyFill="1" applyAlignment="1">
      <alignment vertical="center"/>
    </xf>
    <xf numFmtId="0" fontId="20" fillId="7" borderId="5" xfId="0" applyFont="1" applyFill="1" applyBorder="1" applyAlignment="1">
      <alignment horizontal="center" vertical="center"/>
    </xf>
    <xf numFmtId="166" fontId="16" fillId="12" borderId="5" xfId="3" applyNumberFormat="1" applyFont="1" applyFill="1" applyBorder="1" applyAlignment="1">
      <alignment horizontal="center" vertical="center" wrapText="1"/>
    </xf>
    <xf numFmtId="0" fontId="23" fillId="12" borderId="1" xfId="3" applyFont="1" applyFill="1" applyBorder="1" applyAlignment="1">
      <alignment horizontal="center" vertical="center" wrapText="1"/>
    </xf>
    <xf numFmtId="0" fontId="24" fillId="13" borderId="10" xfId="3" applyFont="1" applyFill="1" applyBorder="1" applyAlignment="1">
      <alignment horizontal="left" vertical="center" wrapText="1"/>
    </xf>
    <xf numFmtId="0" fontId="12" fillId="0" borderId="0" xfId="3" applyFont="1" applyFill="1" applyBorder="1"/>
    <xf numFmtId="0" fontId="3" fillId="0" borderId="0" xfId="3" quotePrefix="1" applyNumberFormat="1" applyFont="1" applyBorder="1" applyAlignment="1">
      <alignment horizontal="center"/>
    </xf>
    <xf numFmtId="0" fontId="21" fillId="0" borderId="5" xfId="3" applyFont="1" applyFill="1" applyBorder="1"/>
    <xf numFmtId="0" fontId="22" fillId="0" borderId="5" xfId="3" applyFont="1" applyFill="1" applyBorder="1"/>
    <xf numFmtId="0" fontId="14" fillId="13" borderId="8" xfId="3" applyFont="1" applyFill="1" applyBorder="1" applyAlignment="1">
      <alignment horizontal="center" vertical="center" wrapText="1"/>
    </xf>
    <xf numFmtId="0" fontId="14" fillId="13" borderId="10" xfId="3" applyFont="1" applyFill="1" applyBorder="1" applyAlignment="1">
      <alignment horizontal="center" vertical="center" wrapText="1"/>
    </xf>
    <xf numFmtId="0" fontId="14" fillId="13" borderId="4" xfId="3" applyFont="1" applyFill="1" applyBorder="1" applyAlignment="1">
      <alignment horizontal="center" vertical="center" wrapText="1"/>
    </xf>
    <xf numFmtId="20" fontId="13" fillId="7" borderId="5" xfId="3" applyNumberFormat="1" applyFont="1" applyFill="1" applyBorder="1" applyAlignment="1">
      <alignment horizontal="center" vertical="center" wrapText="1"/>
    </xf>
    <xf numFmtId="49" fontId="13" fillId="11" borderId="8" xfId="3" applyNumberFormat="1" applyFont="1" applyFill="1" applyBorder="1" applyAlignment="1">
      <alignment horizontal="center" vertical="center"/>
    </xf>
    <xf numFmtId="49" fontId="13" fillId="11" borderId="10" xfId="3" applyNumberFormat="1" applyFont="1" applyFill="1" applyBorder="1" applyAlignment="1">
      <alignment horizontal="center" vertical="center"/>
    </xf>
    <xf numFmtId="49" fontId="13" fillId="11" borderId="4" xfId="3" applyNumberFormat="1" applyFont="1" applyFill="1" applyBorder="1" applyAlignment="1">
      <alignment horizontal="center" vertical="center"/>
    </xf>
    <xf numFmtId="165" fontId="13" fillId="11" borderId="8" xfId="3" applyNumberFormat="1" applyFont="1" applyFill="1" applyBorder="1" applyAlignment="1">
      <alignment horizontal="center" vertical="center"/>
    </xf>
    <xf numFmtId="165" fontId="13" fillId="11" borderId="10" xfId="3" applyNumberFormat="1" applyFont="1" applyFill="1" applyBorder="1" applyAlignment="1">
      <alignment horizontal="center" vertical="center"/>
    </xf>
    <xf numFmtId="165" fontId="13" fillId="11" borderId="4" xfId="3" applyNumberFormat="1" applyFont="1" applyFill="1" applyBorder="1" applyAlignment="1">
      <alignment horizontal="center" vertical="center"/>
    </xf>
    <xf numFmtId="20" fontId="13" fillId="7" borderId="5" xfId="3" applyNumberFormat="1" applyFont="1" applyFill="1" applyBorder="1" applyAlignment="1">
      <alignment horizontal="center" vertical="center"/>
    </xf>
    <xf numFmtId="0" fontId="24" fillId="13" borderId="10" xfId="3" applyFont="1" applyFill="1" applyBorder="1" applyAlignment="1">
      <alignment horizontal="center" vertical="center" wrapText="1"/>
    </xf>
    <xf numFmtId="0" fontId="24" fillId="13" borderId="4" xfId="3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wrapText="1"/>
    </xf>
    <xf numFmtId="0" fontId="3" fillId="9" borderId="9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  <xf numFmtId="0" fontId="3" fillId="9" borderId="19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166" fontId="12" fillId="7" borderId="5" xfId="3" applyNumberFormat="1" applyFont="1" applyFill="1" applyBorder="1"/>
    <xf numFmtId="166" fontId="12" fillId="14" borderId="5" xfId="3" applyNumberFormat="1" applyFont="1" applyFill="1" applyBorder="1"/>
    <xf numFmtId="166" fontId="12" fillId="3" borderId="5" xfId="3" applyNumberFormat="1" applyFont="1" applyFill="1" applyBorder="1"/>
    <xf numFmtId="166" fontId="12" fillId="15" borderId="5" xfId="3" applyNumberFormat="1" applyFont="1" applyFill="1" applyBorder="1"/>
    <xf numFmtId="20" fontId="12" fillId="14" borderId="5" xfId="3" applyNumberFormat="1" applyFont="1" applyFill="1" applyBorder="1"/>
    <xf numFmtId="20" fontId="12" fillId="3" borderId="5" xfId="3" applyNumberFormat="1" applyFont="1" applyFill="1" applyBorder="1"/>
    <xf numFmtId="164" fontId="12" fillId="3" borderId="5" xfId="3" applyNumberFormat="1" applyFont="1" applyFill="1" applyBorder="1"/>
    <xf numFmtId="20" fontId="12" fillId="15" borderId="5" xfId="3" applyNumberFormat="1" applyFont="1" applyFill="1" applyBorder="1"/>
    <xf numFmtId="166" fontId="12" fillId="16" borderId="5" xfId="3" applyNumberFormat="1" applyFont="1" applyFill="1" applyBorder="1"/>
    <xf numFmtId="20" fontId="12" fillId="16" borderId="5" xfId="3" applyNumberFormat="1" applyFont="1" applyFill="1" applyBorder="1"/>
    <xf numFmtId="166" fontId="16" fillId="15" borderId="5" xfId="3" applyNumberFormat="1" applyFont="1" applyFill="1" applyBorder="1"/>
    <xf numFmtId="0" fontId="19" fillId="0" borderId="5" xfId="3" applyNumberFormat="1" applyFont="1" applyFill="1" applyBorder="1"/>
  </cellXfs>
  <cellStyles count="6">
    <cellStyle name="Comma" xfId="1" builtinId="3"/>
    <cellStyle name="Comma 2" xfId="2"/>
    <cellStyle name="Normal" xfId="0" builtinId="0"/>
    <cellStyle name="Normal 2" xfId="3"/>
    <cellStyle name="Normal 2 2" xfId="4"/>
    <cellStyle name="Normal 9 4" xfId="5"/>
  </cellStyles>
  <dxfs count="12"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104775</xdr:colOff>
      <xdr:row>11</xdr:row>
      <xdr:rowOff>76199</xdr:rowOff>
    </xdr:from>
    <xdr:to>
      <xdr:col>25</xdr:col>
      <xdr:colOff>561975</xdr:colOff>
      <xdr:row>11</xdr:row>
      <xdr:rowOff>142874</xdr:rowOff>
    </xdr:to>
    <xdr:sp macro="" textlink="">
      <xdr:nvSpPr>
        <xdr:cNvPr id="2" name="Right Arrow 1"/>
        <xdr:cNvSpPr/>
      </xdr:nvSpPr>
      <xdr:spPr>
        <a:xfrm>
          <a:off x="20669250" y="2143124"/>
          <a:ext cx="457200" cy="66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76200</xdr:colOff>
      <xdr:row>13</xdr:row>
      <xdr:rowOff>38099</xdr:rowOff>
    </xdr:from>
    <xdr:to>
      <xdr:col>25</xdr:col>
      <xdr:colOff>533400</xdr:colOff>
      <xdr:row>13</xdr:row>
      <xdr:rowOff>104774</xdr:rowOff>
    </xdr:to>
    <xdr:sp macro="" textlink="">
      <xdr:nvSpPr>
        <xdr:cNvPr id="3" name="Right Arrow 2"/>
        <xdr:cNvSpPr/>
      </xdr:nvSpPr>
      <xdr:spPr>
        <a:xfrm>
          <a:off x="20640675" y="2647949"/>
          <a:ext cx="457200" cy="66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3257550</xdr:colOff>
      <xdr:row>2</xdr:row>
      <xdr:rowOff>200025</xdr:rowOff>
    </xdr:from>
    <xdr:to>
      <xdr:col>10</xdr:col>
      <xdr:colOff>209550</xdr:colOff>
      <xdr:row>5</xdr:row>
      <xdr:rowOff>19050</xdr:rowOff>
    </xdr:to>
    <xdr:sp macro="" textlink="">
      <xdr:nvSpPr>
        <xdr:cNvPr id="2" name="Rectangular Callout 1"/>
        <xdr:cNvSpPr/>
      </xdr:nvSpPr>
      <xdr:spPr>
        <a:xfrm>
          <a:off x="7077075" y="1914525"/>
          <a:ext cx="2143125" cy="1152525"/>
        </a:xfrm>
        <a:prstGeom prst="wedgeRectCallout">
          <a:avLst>
            <a:gd name="adj1" fmla="val -45927"/>
            <a:gd name="adj2" fmla="val 14014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Bagaimana cara mengisi lembur dengan cara ketentuan dan data dari</a:t>
          </a:r>
          <a:r>
            <a:rPr lang="en-US" sz="1100" baseline="0"/>
            <a:t> input absen, tetapi hasilnya langsung dimasukkan langsung kedalam cell G8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center.missyuvi\Rizal\HRD\PERINCIAN%20LEMBUR\Missyuvi%20Absen%20Ker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bsen "/>
      <sheetName val="tabulasi absensi harian"/>
      <sheetName val="Status Karyawan"/>
      <sheetName val="Code"/>
    </sheetNames>
    <sheetDataSet>
      <sheetData sheetId="0"/>
      <sheetData sheetId="1"/>
      <sheetData sheetId="2">
        <row r="4">
          <cell r="B4">
            <v>1008</v>
          </cell>
          <cell r="C4" t="str">
            <v>Mustain</v>
          </cell>
        </row>
        <row r="5">
          <cell r="B5">
            <v>1009</v>
          </cell>
          <cell r="C5" t="str">
            <v>Indarto</v>
          </cell>
        </row>
        <row r="6">
          <cell r="B6">
            <v>1010</v>
          </cell>
          <cell r="C6" t="str">
            <v>Evi</v>
          </cell>
        </row>
        <row r="7">
          <cell r="B7">
            <v>1011</v>
          </cell>
          <cell r="C7" t="str">
            <v>Harijanto</v>
          </cell>
        </row>
        <row r="8">
          <cell r="B8">
            <v>1012</v>
          </cell>
          <cell r="C8" t="str">
            <v>Afrizal</v>
          </cell>
        </row>
        <row r="9">
          <cell r="B9">
            <v>1013</v>
          </cell>
          <cell r="C9" t="str">
            <v>Ryan Ayu</v>
          </cell>
        </row>
        <row r="10">
          <cell r="B10">
            <v>1014</v>
          </cell>
          <cell r="C10" t="str">
            <v>Ropa</v>
          </cell>
        </row>
        <row r="11">
          <cell r="B11">
            <v>1015</v>
          </cell>
          <cell r="C11" t="str">
            <v>Andy</v>
          </cell>
        </row>
        <row r="12">
          <cell r="B12">
            <v>1016</v>
          </cell>
          <cell r="C12" t="str">
            <v>Aprilia</v>
          </cell>
        </row>
        <row r="13">
          <cell r="B13">
            <v>1017</v>
          </cell>
          <cell r="C13" t="str">
            <v>Syaqiq</v>
          </cell>
        </row>
        <row r="14">
          <cell r="B14">
            <v>1023</v>
          </cell>
          <cell r="C14" t="str">
            <v>Ari</v>
          </cell>
        </row>
        <row r="15">
          <cell r="B15">
            <v>1028</v>
          </cell>
          <cell r="C15" t="str">
            <v>Natalia</v>
          </cell>
        </row>
        <row r="16">
          <cell r="B16">
            <v>1031</v>
          </cell>
          <cell r="C16" t="str">
            <v>Tsani</v>
          </cell>
        </row>
        <row r="17">
          <cell r="B17">
            <v>1032</v>
          </cell>
          <cell r="C17" t="str">
            <v>Fausiyah</v>
          </cell>
        </row>
        <row r="18">
          <cell r="B18">
            <v>1033</v>
          </cell>
          <cell r="C18" t="str">
            <v>Meylan</v>
          </cell>
        </row>
        <row r="19">
          <cell r="B19">
            <v>1034</v>
          </cell>
          <cell r="C19" t="str">
            <v>Hani</v>
          </cell>
        </row>
        <row r="20">
          <cell r="B20">
            <v>1035</v>
          </cell>
          <cell r="C20" t="str">
            <v>Ega</v>
          </cell>
        </row>
        <row r="21">
          <cell r="B21">
            <v>1036</v>
          </cell>
          <cell r="C21" t="str">
            <v>Dian</v>
          </cell>
        </row>
        <row r="22">
          <cell r="B22">
            <v>1037</v>
          </cell>
          <cell r="C22" t="str">
            <v>Zera</v>
          </cell>
        </row>
        <row r="23">
          <cell r="B23">
            <v>1039</v>
          </cell>
          <cell r="C23" t="str">
            <v xml:space="preserve">Yektiningtyas </v>
          </cell>
        </row>
        <row r="24">
          <cell r="B24">
            <v>1040</v>
          </cell>
          <cell r="C24" t="str">
            <v>Indra Ryandar</v>
          </cell>
        </row>
        <row r="25">
          <cell r="B25">
            <v>1041</v>
          </cell>
          <cell r="C25" t="str">
            <v>Novita Galuh</v>
          </cell>
        </row>
        <row r="26">
          <cell r="B26">
            <v>1042</v>
          </cell>
          <cell r="C26" t="str">
            <v>Marsela Romaya</v>
          </cell>
        </row>
        <row r="27">
          <cell r="B27">
            <v>1043</v>
          </cell>
          <cell r="C27" t="str">
            <v>Anastasia Megawati</v>
          </cell>
        </row>
        <row r="28">
          <cell r="B28">
            <v>1044</v>
          </cell>
          <cell r="C28" t="str">
            <v>Farid Faisal</v>
          </cell>
        </row>
        <row r="29">
          <cell r="B29">
            <v>1046</v>
          </cell>
          <cell r="C29" t="str">
            <v>Dita Anggraeni</v>
          </cell>
        </row>
        <row r="30">
          <cell r="B30">
            <v>1047</v>
          </cell>
          <cell r="C30" t="str">
            <v xml:space="preserve">Edny Novita Sari </v>
          </cell>
        </row>
        <row r="31">
          <cell r="B31">
            <v>1048</v>
          </cell>
          <cell r="C31" t="str">
            <v>Eska Trisilia</v>
          </cell>
        </row>
        <row r="32">
          <cell r="B32">
            <v>1050</v>
          </cell>
          <cell r="C32" t="str">
            <v>Tari</v>
          </cell>
        </row>
        <row r="33">
          <cell r="B33">
            <v>1051</v>
          </cell>
          <cell r="C33" t="str">
            <v>Devita</v>
          </cell>
        </row>
        <row r="34">
          <cell r="B34">
            <v>1053</v>
          </cell>
          <cell r="C34" t="str">
            <v>Muchid</v>
          </cell>
        </row>
        <row r="35">
          <cell r="B35">
            <v>1054</v>
          </cell>
          <cell r="C35" t="str">
            <v>Mahardika</v>
          </cell>
        </row>
        <row r="36">
          <cell r="B36">
            <v>1055</v>
          </cell>
          <cell r="C36" t="str">
            <v>Wisnu</v>
          </cell>
        </row>
        <row r="37">
          <cell r="B37">
            <v>1058</v>
          </cell>
          <cell r="C37" t="str">
            <v>Suci</v>
          </cell>
        </row>
        <row r="38">
          <cell r="B38">
            <v>1059</v>
          </cell>
          <cell r="C38" t="str">
            <v>Susan</v>
          </cell>
        </row>
        <row r="39">
          <cell r="B39">
            <v>1061</v>
          </cell>
          <cell r="C39" t="str">
            <v>Dias</v>
          </cell>
        </row>
        <row r="40">
          <cell r="B40">
            <v>1062</v>
          </cell>
          <cell r="C40" t="str">
            <v>Dedy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39997558519241921"/>
  </sheetPr>
  <dimension ref="A1:AA18"/>
  <sheetViews>
    <sheetView tabSelected="1" workbookViewId="0">
      <selection activeCell="J10" sqref="J10"/>
    </sheetView>
  </sheetViews>
  <sheetFormatPr defaultRowHeight="14.25" x14ac:dyDescent="0.3"/>
  <cols>
    <col min="1" max="1" width="5.42578125" style="35" bestFit="1" customWidth="1"/>
    <col min="2" max="2" width="6.42578125" style="36" customWidth="1"/>
    <col min="3" max="3" width="18" style="36" bestFit="1" customWidth="1"/>
    <col min="4" max="4" width="10.85546875" style="37" bestFit="1" customWidth="1"/>
    <col min="5" max="6" width="10.85546875" style="37" customWidth="1"/>
    <col min="7" max="7" width="6.85546875" style="38" customWidth="1"/>
    <col min="8" max="8" width="7.7109375" style="38" customWidth="1"/>
    <col min="9" max="9" width="6.7109375" style="38" customWidth="1"/>
    <col min="10" max="10" width="16.42578125" style="38" customWidth="1"/>
    <col min="11" max="11" width="26.7109375" style="38" customWidth="1"/>
    <col min="12" max="12" width="12.5703125" style="38" customWidth="1"/>
    <col min="13" max="13" width="22.5703125" style="38" customWidth="1"/>
    <col min="14" max="14" width="12.28515625" style="38" customWidth="1"/>
    <col min="15" max="15" width="31.7109375" style="38" customWidth="1"/>
    <col min="16" max="16" width="12.140625" style="38" customWidth="1"/>
    <col min="17" max="17" width="26.42578125" style="38" customWidth="1"/>
    <col min="18" max="18" width="12.140625" style="38" customWidth="1"/>
    <col min="19" max="19" width="23.42578125" style="38" customWidth="1"/>
    <col min="20" max="20" width="12.140625" style="38" customWidth="1"/>
    <col min="21" max="21" width="22.42578125" style="38" customWidth="1"/>
    <col min="22" max="23" width="12.140625" style="38" customWidth="1"/>
    <col min="24" max="24" width="10.140625" style="38" customWidth="1"/>
    <col min="25" max="25" width="10.42578125" style="38" customWidth="1"/>
    <col min="26" max="16384" width="9.140625" style="35"/>
  </cols>
  <sheetData>
    <row r="1" spans="1:27" x14ac:dyDescent="0.3">
      <c r="J1" s="39"/>
      <c r="K1" s="118">
        <v>2.0833332333333371E-2</v>
      </c>
      <c r="L1" s="39"/>
      <c r="M1" s="68">
        <v>0.29166666666666669</v>
      </c>
      <c r="N1" s="68"/>
      <c r="O1" s="68">
        <v>4.1666666999999998E-2</v>
      </c>
      <c r="P1" s="68"/>
      <c r="Q1" s="68">
        <v>4.1666666999999998E-2</v>
      </c>
      <c r="R1" s="68"/>
      <c r="S1" s="68">
        <v>4.1666666999999998E-2</v>
      </c>
      <c r="T1" s="68"/>
      <c r="U1" s="68"/>
      <c r="V1" s="68"/>
      <c r="W1" s="39"/>
      <c r="X1" s="39"/>
      <c r="Y1" s="39"/>
    </row>
    <row r="2" spans="1:27" x14ac:dyDescent="0.3">
      <c r="I2" s="39">
        <v>1</v>
      </c>
      <c r="J2" s="39"/>
      <c r="L2" s="39"/>
    </row>
    <row r="3" spans="1:27" ht="21" customHeight="1" x14ac:dyDescent="0.3">
      <c r="A3" s="81" t="s">
        <v>17</v>
      </c>
      <c r="B3" s="81" t="s">
        <v>18</v>
      </c>
      <c r="C3" s="81" t="s">
        <v>19</v>
      </c>
      <c r="D3" s="84" t="s">
        <v>20</v>
      </c>
      <c r="E3" s="84" t="s">
        <v>4</v>
      </c>
      <c r="F3" s="50"/>
      <c r="G3" s="87" t="s">
        <v>21</v>
      </c>
      <c r="H3" s="87"/>
      <c r="I3" s="80" t="s">
        <v>22</v>
      </c>
      <c r="J3" s="80"/>
      <c r="K3" s="77" t="s">
        <v>23</v>
      </c>
      <c r="L3" s="77" t="s">
        <v>88</v>
      </c>
      <c r="M3" s="72" t="s">
        <v>74</v>
      </c>
      <c r="N3" s="88" t="s">
        <v>89</v>
      </c>
      <c r="O3" s="72" t="s">
        <v>79</v>
      </c>
      <c r="P3" s="88" t="s">
        <v>90</v>
      </c>
      <c r="Q3" s="72" t="s">
        <v>80</v>
      </c>
      <c r="R3" s="88" t="s">
        <v>91</v>
      </c>
      <c r="S3" s="72" t="s">
        <v>81</v>
      </c>
      <c r="T3" s="88" t="s">
        <v>92</v>
      </c>
      <c r="U3" s="72" t="s">
        <v>81</v>
      </c>
      <c r="V3" s="88" t="s">
        <v>103</v>
      </c>
      <c r="W3" s="77" t="s">
        <v>73</v>
      </c>
      <c r="X3" s="77" t="s">
        <v>72</v>
      </c>
      <c r="Y3" s="77" t="s">
        <v>24</v>
      </c>
    </row>
    <row r="4" spans="1:27" ht="19.5" customHeight="1" x14ac:dyDescent="0.3">
      <c r="A4" s="82"/>
      <c r="B4" s="82"/>
      <c r="C4" s="82"/>
      <c r="D4" s="85"/>
      <c r="E4" s="85"/>
      <c r="F4" s="51"/>
      <c r="G4" s="87"/>
      <c r="H4" s="87"/>
      <c r="I4" s="80"/>
      <c r="J4" s="80"/>
      <c r="K4" s="78"/>
      <c r="L4" s="78"/>
      <c r="M4" s="72" t="s">
        <v>75</v>
      </c>
      <c r="N4" s="88"/>
      <c r="O4" s="72" t="s">
        <v>76</v>
      </c>
      <c r="P4" s="88"/>
      <c r="Q4" s="72" t="s">
        <v>77</v>
      </c>
      <c r="R4" s="88"/>
      <c r="S4" s="72" t="s">
        <v>78</v>
      </c>
      <c r="T4" s="88"/>
      <c r="U4" s="72" t="s">
        <v>78</v>
      </c>
      <c r="V4" s="88"/>
      <c r="W4" s="78"/>
      <c r="X4" s="78"/>
      <c r="Y4" s="78"/>
    </row>
    <row r="5" spans="1:27" ht="18.75" customHeight="1" x14ac:dyDescent="0.3">
      <c r="A5" s="83"/>
      <c r="B5" s="83"/>
      <c r="C5" s="83"/>
      <c r="D5" s="86"/>
      <c r="E5" s="86"/>
      <c r="F5" s="52"/>
      <c r="G5" s="40" t="s">
        <v>25</v>
      </c>
      <c r="H5" s="40" t="s">
        <v>26</v>
      </c>
      <c r="I5" s="40" t="s">
        <v>27</v>
      </c>
      <c r="J5" s="40" t="s">
        <v>28</v>
      </c>
      <c r="K5" s="79"/>
      <c r="L5" s="79"/>
      <c r="M5" s="72" t="s">
        <v>84</v>
      </c>
      <c r="N5" s="89"/>
      <c r="O5" s="72" t="s">
        <v>85</v>
      </c>
      <c r="P5" s="89"/>
      <c r="Q5" s="72" t="s">
        <v>87</v>
      </c>
      <c r="R5" s="89"/>
      <c r="S5" s="72" t="s">
        <v>86</v>
      </c>
      <c r="T5" s="89"/>
      <c r="U5" s="72" t="s">
        <v>86</v>
      </c>
      <c r="V5" s="89"/>
      <c r="W5" s="79"/>
      <c r="X5" s="79"/>
      <c r="Y5" s="79"/>
    </row>
    <row r="6" spans="1:27" x14ac:dyDescent="0.3">
      <c r="A6" s="41">
        <v>1</v>
      </c>
      <c r="B6" s="42">
        <f>IFERROR(INDEX('[1]Status Karyawan'!$B$4:$B$60,MATCH(C6,'[1]Status Karyawan'!$C$4:$C$60,0)),"")</f>
        <v>1023</v>
      </c>
      <c r="C6" s="43" t="s">
        <v>29</v>
      </c>
      <c r="D6" s="44" t="s">
        <v>30</v>
      </c>
      <c r="E6" s="45" t="str">
        <f>CHOOSE(WEEKDAY(D6),"Minggu","Senin","Selasa","Rabu","Kamis","Jumat","Sabtu")</f>
        <v>Rabu</v>
      </c>
      <c r="F6" s="45"/>
      <c r="G6" s="46">
        <v>0.41666666666666669</v>
      </c>
      <c r="H6" s="46">
        <v>0.75</v>
      </c>
      <c r="I6" s="46">
        <v>0.39374999999999999</v>
      </c>
      <c r="J6" s="47">
        <v>0.89583333333333337</v>
      </c>
      <c r="K6" s="75" t="s">
        <v>44</v>
      </c>
      <c r="L6" s="66">
        <f>IF(K6="Blank",0,IF(K6="Ijin Terlambat",0,IF(K6="Tidak Absen keluar",0,IF(K6="Tidak Absen Masuk",0,IF(K6="Terlambat Masuk",0,IF(K6="Lembur Biasa",J6-H6,J6-G6))))))</f>
        <v>0.14583333333333337</v>
      </c>
      <c r="M6" s="66">
        <f>ROUND(IF(K6="Lembur Terpendek Hari Merah",(IF(L6&gt;$O$1,5,L6)*$O$1),IF(K6="Lembur Biasa",(IF(L6="","",(IF(L6&gt;$O$1,$Q$1,L6)))),(IF(L6="","",(IF(L6&gt;$M$1,7*$O$1,L6-$K$1)))))),8)</f>
        <v>4.1666670000000003E-2</v>
      </c>
      <c r="N6" s="108">
        <f>IF(K6="Lembur Terpendek Hari Merah",(M6/$O$1)*(X6*1.3333111),IF(K6="Lembur Biasa",(M6/$O$1)*X6,IF(AND(K6="Lembur Hari Merah",M6&gt;0.25),(M6/$O$1)*(X6*1.3333111),(M6/$O$1)*(X6*2))))</f>
        <v>13006.000936431994</v>
      </c>
      <c r="O6" s="111">
        <f>IF(L6="","",IF(L6-M6&gt;$O$1,$O$1,L6-M6))</f>
        <v>4.1666666999999998E-2</v>
      </c>
      <c r="P6" s="108">
        <f>IF(K6="Lembur Terpendek Hari Merah",IF(O6&lt;$O$1,((O6/$O$1)*(X6*2)),((O6/$O$1)*(X6*2))),IF(K6="Lembur Biasa",IF(O6&lt;$O$1,((O6/$O$1)*N6),((O6/$O$1)*N6)+(0.3333111*N6)),IF(O6&lt;$O$1,((O6/$O$1)*(X6*2)),((O6/$O$1)*(X6*2)))))</f>
        <v>17341.045415155171</v>
      </c>
      <c r="Q6" s="111">
        <f>IF(L6="","",IF((L6-(M6+O6))&gt;$Q$1,$Q$1,(L6-(M6+O6))))</f>
        <v>4.1666666999999998E-2</v>
      </c>
      <c r="R6" s="108">
        <f>IF(K6="Lembur Terpendek Hari Merah",IF(Q6&lt;$O$1,((Q6/$O$1)*(X6*1.3333111)),((Q6/$O$1)*(X6*2.6666667))),IF(K6="Lembur Biasa",IF(Q6&lt;$O$1,((Q6/$O$1)*P6),((Q6/$O$1)*P6)),IF(Q6&lt;$O$1,((Q6/$O$1)*(X6*1.3333111)),((Q6/$O$1)*(X6*2.6666667)))))</f>
        <v>17341.045415155171</v>
      </c>
      <c r="S6" s="111">
        <f>IF(L6="","",IF((L6-(M6+O6+Q6))&gt;$S$1,$S$1,(L6-(M6+O6+Q6))))</f>
        <v>2.0833329333333372E-2</v>
      </c>
      <c r="T6" s="108">
        <f>IF(K6="Lembur Terpendek Hari Merah",IF(S6&lt;$O$1,((S6/$O$1)*(X6*2.6666667)),((S6/$O$1)*(X6*1.3333111))),IF(K6="Lembur Biasa",IF(S6&lt;$O$1,((S6/$O$1)*R6),((S6/$O$1)*R6)),IF(S6&lt;$O$1,((S6/$O$1)*(X6*2.6666667)),((S6/$O$1)*(X6*1.3333111)))))</f>
        <v>8670.5209734730743</v>
      </c>
      <c r="U6" s="111">
        <f>IF(L6="","",IF((L6-(M6+O6+Q6+S6))&gt;S1,S1,(L6-(M6+O6+Q6+S6))))</f>
        <v>0</v>
      </c>
      <c r="V6" s="108">
        <f>IF(K6="Lembur Terpendek Hari Merah",IF(U6&lt;$O$1,((U6/$O$1)*(X6*1.3333111)),((U6/$O$1)*(X6*2.6666667))),IF(K6="Lembur Biasa",IF(U6&lt;$O$1,((U6/$O$1)*T6),((U6/$O$1)*T6)),IF(U6&lt;$O$1,((U6/$O$1)*(X6*1.3333111)),((U6/$O$1)*(X6*2.6666667)))))</f>
        <v>0</v>
      </c>
      <c r="W6" s="108">
        <f>IF(Y6="Approved",N6+P6+R6+T6,"")</f>
        <v>56358.612740215409</v>
      </c>
      <c r="X6" s="70">
        <f>(1/173)*2250038</f>
        <v>13006</v>
      </c>
      <c r="Y6" s="48" t="s">
        <v>34</v>
      </c>
    </row>
    <row r="7" spans="1:27" x14ac:dyDescent="0.3">
      <c r="A7" s="41">
        <f>A8+1</f>
        <v>3</v>
      </c>
      <c r="B7" s="42">
        <f>IFERROR(INDEX('[1]Status Karyawan'!$B$4:$B$60,MATCH(C7,'[1]Status Karyawan'!$C$4:$C$60,0)),"")</f>
        <v>1023</v>
      </c>
      <c r="C7" s="43" t="s">
        <v>29</v>
      </c>
      <c r="D7" s="44" t="s">
        <v>31</v>
      </c>
      <c r="E7" s="45" t="str">
        <f t="shared" ref="E7" si="0">CHOOSE(WEEKDAY(D7),"Minggu","Senin","Selasa","Rabu","Kamis","Jumat","Sabtu")</f>
        <v>Kamis</v>
      </c>
      <c r="F7" s="45"/>
      <c r="G7" s="46">
        <v>0.33333333333333331</v>
      </c>
      <c r="H7" s="46">
        <v>0.54166666666666663</v>
      </c>
      <c r="I7" s="46">
        <v>0.32708333333333334</v>
      </c>
      <c r="J7" s="46">
        <v>0.60416666666666663</v>
      </c>
      <c r="K7" s="76" t="s">
        <v>45</v>
      </c>
      <c r="L7" s="66">
        <f t="shared" ref="L7" si="1">IF(K7="Blank",0,IF(K7="Ijin Terlambat",0,IF(K7="Tidak Absen keluar",0,IF(K7="Tidak Absen Masuk",0,IF(K7="Terlambat Masuk",0,IF(K7="Lembur Biasa",J7-H7,J7-G7))))))</f>
        <v>0.27083333333333331</v>
      </c>
      <c r="M7" s="66">
        <f t="shared" ref="M7:M10" si="2">ROUND(IF(K7="Lembur Terpendek Hari Merah",(IF(L7&gt;$O$1,5,L7)*$O$1),IF(K7="Lembur Biasa",(IF(L7="","",(IF(L7&gt;$O$1,$Q$1,L7)))),(IF(L7="","",(IF(L7&gt;$M$1,7*$O$1,L7-$K$1)))))),8)</f>
        <v>0.25</v>
      </c>
      <c r="N7" s="107">
        <f>IF(K7="Lembur Terpendek Hari Merah",(M7/$O$1)*(X7*1.3333111),IF(K7="Lembur Biasa",(M7/$O$1)*X7,IF(AND(K7="Lembur Hari Merah",M7&gt;0.25),(M7/$O$1)*(X7*1.3333111),(M7/$O$1)*(X7*2))))</f>
        <v>156071.99875142402</v>
      </c>
      <c r="O7" s="47">
        <f t="shared" ref="O7" si="3">IF(L7="","",IF(L7-M7&gt;$O$1,$O$1,L7-M7))</f>
        <v>2.0833333333333315E-2</v>
      </c>
      <c r="P7" s="107">
        <f>IF(K7="Lembur Terpendek Hari Merah",IF(O7&lt;$O$1,((O7/$O$1)*(X7*2)),((O7/$O$1)*(X7*2))),IF(K7="Lembur Biasa",IF(O7&lt;$O$1,((O7/$O$1)*N7),((O7/$O$1)*N7)+(0.3333111*N7)),IF(O7&lt;$O$1,((O7/$O$1)*(X7*2)),((O7/$O$1)*(X7*2)))))</f>
        <v>13005.999895951991</v>
      </c>
      <c r="Q7" s="47">
        <f t="shared" ref="Q7" si="4">IF(L7="","",IF((L7-(M7+O7))&gt;$Q$1,$Q$1,(L7-(M7+O7))))</f>
        <v>0</v>
      </c>
      <c r="R7" s="107">
        <f>IF(K7="Lembur Terpendek Hari Merah",IF(Q7&lt;$O$1,((Q7/$O$1)*(X7*1.3333111)),((Q7/$O$1)*(X7*2.6666667))),IF(K7="Lembur Biasa",IF(Q7&lt;$O$1,((Q7/$O$1)*P7),((Q7/$O$1)*P7)),IF(Q7&lt;$O$1,((Q7/$O$1)*(X7*1.3333111)),((Q7/$O$1)*(X7*2.6666667)))))</f>
        <v>0</v>
      </c>
      <c r="S7" s="47">
        <f t="shared" ref="S7:S10" si="5">IF(L7="","",IF((L7-(M7+O7+Q7))&gt;$S$1,$S$1,(L7-(M7+O7+Q7))))</f>
        <v>0</v>
      </c>
      <c r="T7" s="107">
        <f>IF(K7="Lembur Terpendek Hari Merah",IF(S7&lt;$O$1,((S7/$O$1)*(X7*2.6666667)),((S7/$O$1)*(X7*1.3333111))),IF(K7="Lembur Biasa",IF(S7&lt;$O$1,((S7/$O$1)*R7),((S7/$O$1)*R7)),IF(S7&lt;$O$1,((S7/$O$1)*(X7*2.6666667)),((S7/$O$1)*(X7*1.3333111)))))</f>
        <v>0</v>
      </c>
      <c r="U7" s="47">
        <f t="shared" ref="U7:U10" si="6">IF(L7="","",IF((L7-(M7+O7+Q7+S7))&gt;S2,S2,(L7-(M7+O7+Q7+S7))))</f>
        <v>0</v>
      </c>
      <c r="V7" s="107">
        <f t="shared" ref="V7:V10" si="7">IF(K7="Lembur Terpendek Hari Merah",IF(U7&lt;$O$1,((U7/$O$1)*(X7*1.3333111)),((U7/$O$1)*(X7*2.6666667))),IF(K7="Lembur Biasa",IF(U7&lt;$O$1,((U7/$O$1)*T7),((U7/$O$1)*T7)),IF(U7&lt;$O$1,((U7/$O$1)*(X7*1.3333111)),((U7/$O$1)*(X7*2.6666667)))))</f>
        <v>0</v>
      </c>
      <c r="W7" s="107">
        <f t="shared" ref="W7:W10" si="8">IF(Y7="Approved",N7+P7+R7+T7,"")</f>
        <v>169077.99864737602</v>
      </c>
      <c r="X7" s="70">
        <f t="shared" ref="X7:X10" si="9">(1/173)*2250038</f>
        <v>13006</v>
      </c>
      <c r="Y7" s="48" t="s">
        <v>34</v>
      </c>
    </row>
    <row r="8" spans="1:27" x14ac:dyDescent="0.3">
      <c r="A8" s="41">
        <f>A6+1</f>
        <v>2</v>
      </c>
      <c r="B8" s="42">
        <f>IFERROR(INDEX('[1]Status Karyawan'!$B$4:$B$60,MATCH(C8,'[1]Status Karyawan'!$C$4:$C$60,0)),"")</f>
        <v>1023</v>
      </c>
      <c r="C8" s="43" t="s">
        <v>29</v>
      </c>
      <c r="D8" s="44" t="s">
        <v>31</v>
      </c>
      <c r="E8" s="45" t="str">
        <f t="shared" ref="E8:E10" si="10">CHOOSE(WEEKDAY(D8),"Minggu","Senin","Selasa","Rabu","Kamis","Jumat","Sabtu")</f>
        <v>Kamis</v>
      </c>
      <c r="F8" s="45"/>
      <c r="G8" s="46">
        <v>0.33333333333333331</v>
      </c>
      <c r="H8" s="46">
        <v>0.54166666666666663</v>
      </c>
      <c r="I8" s="46">
        <v>0.32708333333333334</v>
      </c>
      <c r="J8" s="46">
        <v>0.72916666666666663</v>
      </c>
      <c r="K8" s="76" t="s">
        <v>45</v>
      </c>
      <c r="L8" s="66">
        <f t="shared" ref="L8:L10" si="11">IF(K8="Blank",0,IF(K8="Ijin Terlambat",0,IF(K8="Tidak Absen keluar",0,IF(K8="Tidak Absen Masuk",0,IF(K8="Terlambat Masuk",0,IF(K8="Lembur Biasa",J8-H8,J8-G8))))))</f>
        <v>0.39583333333333331</v>
      </c>
      <c r="M8" s="66">
        <f t="shared" si="2"/>
        <v>0.29166667000000002</v>
      </c>
      <c r="N8" s="109">
        <f>IF(K8="Lembur Terpendek Hari Merah",(M8/$O$1)*(X8*1.3333111),IF(K8="Lembur Biasa",(M8/$O$1)*X8,IF(AND(K8="Lembur Hari Merah",M8&gt;0.25),(M8/$O$1)*(X8*1.3333111),(M8/$O$1)*(X8*2))))</f>
        <v>121387.30958238507</v>
      </c>
      <c r="O8" s="112">
        <f t="shared" ref="O8:O10" si="12">IF(L8="","",IF(L8-M8&gt;$O$1,$O$1,L8-M8))</f>
        <v>4.1666666999999998E-2</v>
      </c>
      <c r="P8" s="109">
        <f>IF(K8="Lembur Terpendek Hari Merah",IF(O8&lt;$O$1,((O8/$O$1)*(X8*2)),((O8/$O$1)*(X8*2))),IF(K8="Lembur Biasa",IF(O8&lt;$O$1,((O8/$O$1)*N8),((O8/$O$1)*N8)+(0.3333111*N8)),IF(O8&lt;$O$1,((O8/$O$1)*(X8*2)),((O8/$O$1)*(X8*2)))))</f>
        <v>26012</v>
      </c>
      <c r="Q8" s="112">
        <f t="shared" ref="Q8:Q10" si="13">IF(L8="","",IF((L8-(M8+O8))&gt;$Q$1,$Q$1,(L8-(M8+O8))))</f>
        <v>4.1666666999999998E-2</v>
      </c>
      <c r="R8" s="109">
        <f>IF(K8="Lembur Terpendek Hari Merah",IF(Q8&lt;$O$1,((Q8/$O$1)*(X8*1.3333111)),((Q8/$O$1)*(X8*2.6666667))),IF(K8="Lembur Biasa",IF(Q8&lt;$O$1,((Q8/$O$1)*P8),((Q8/$O$1)*P8)),IF(Q8&lt;$O$1,((Q8/$O$1)*(X8*1.3333111)),((Q8/$O$1)*(X8*2.6666667)))))</f>
        <v>34682.6671002</v>
      </c>
      <c r="S8" s="112">
        <f t="shared" si="5"/>
        <v>2.0833329333333317E-2</v>
      </c>
      <c r="T8" s="109">
        <f>IF(K8="Lembur Terpendek Hari Merah",IF(S8&lt;$O$1,((S8/$O$1)*(X8*2.6666667)),((S8/$O$1)*(X8*1.3333111))),IF(K8="Lembur Biasa",IF(S8&lt;$O$1,((S8/$O$1)*R8),((S8/$O$1)*R8)),IF(S8&lt;$O$1,((S8/$O$1)*(X8*2.6666667)),((S8/$O$1)*(X8*1.3333111)))))</f>
        <v>17341.330081833305</v>
      </c>
      <c r="U8" s="112">
        <f t="shared" si="6"/>
        <v>0</v>
      </c>
      <c r="V8" s="109">
        <f t="shared" si="7"/>
        <v>0</v>
      </c>
      <c r="W8" s="109">
        <f t="shared" si="8"/>
        <v>199423.30676441835</v>
      </c>
      <c r="X8" s="70">
        <f t="shared" si="9"/>
        <v>13006</v>
      </c>
      <c r="Y8" s="48" t="s">
        <v>34</v>
      </c>
    </row>
    <row r="9" spans="1:27" x14ac:dyDescent="0.3">
      <c r="A9" s="41">
        <f>A8+1</f>
        <v>3</v>
      </c>
      <c r="B9" s="42">
        <f>IFERROR(INDEX('[1]Status Karyawan'!$B$4:$B$60,MATCH(C9,'[1]Status Karyawan'!$C$4:$C$60,0)),"")</f>
        <v>1023</v>
      </c>
      <c r="C9" s="43" t="s">
        <v>29</v>
      </c>
      <c r="D9" s="44" t="s">
        <v>32</v>
      </c>
      <c r="E9" s="45" t="str">
        <f t="shared" si="10"/>
        <v>Jumat</v>
      </c>
      <c r="F9" s="45"/>
      <c r="G9" s="46">
        <v>0.33333333333333331</v>
      </c>
      <c r="H9" s="46">
        <v>0.54166666666666663</v>
      </c>
      <c r="I9" s="46">
        <v>0.32708333333333334</v>
      </c>
      <c r="J9" s="46">
        <v>0.76041666666666663</v>
      </c>
      <c r="K9" s="76" t="s">
        <v>45</v>
      </c>
      <c r="L9" s="116">
        <f>IF(K9="Blank",0,IF(K9="Ijin Terlambat",0,IF(K9="Tidak Absen keluar",0,IF(K9="Tidak Absen Masuk",0,IF(K9="Terlambat Masuk",0,IF(K9="Lembur Biasa",J9-H9,J9-G9))))))</f>
        <v>0.42708333333333331</v>
      </c>
      <c r="M9" s="116">
        <f t="shared" si="2"/>
        <v>0.29166667000000002</v>
      </c>
      <c r="N9" s="115">
        <f>IF(K9="Lembur Terpendek Hari Merah",(M9/$O$1)*(X9*1.3333111),IF(K9="Lembur Biasa",(M9/$O$1)*X9,IF(AND(K9="Lembur Hari Merah",M9&gt;0.25),(M9/$O$1)*(X9*1.3333111),(M9/$O$1)*(X9*2))))</f>
        <v>121387.30958238507</v>
      </c>
      <c r="O9" s="116">
        <f t="shared" si="12"/>
        <v>4.1666666999999998E-2</v>
      </c>
      <c r="P9" s="115">
        <f>IF(K9="Lembur Terpendek Hari Merah",IF(O9&lt;$O$1,((O9/$O$1)*(X9*2)),((O9/$O$1)*(X9*2))),IF(K9="Lembur Biasa",IF(O9&lt;$O$1,((O9/$O$1)*N9),((O9/$O$1)*N9)+(0.3333111*N9)),IF(O9&lt;$O$1,((O9/$O$1)*(X9*2)),((O9/$O$1)*(X9*2)))))</f>
        <v>26012</v>
      </c>
      <c r="Q9" s="116">
        <f t="shared" si="13"/>
        <v>4.1666666999999998E-2</v>
      </c>
      <c r="R9" s="115">
        <f>IF(K9="Lembur Terpendek Hari Merah",IF(Q9&lt;$O$1,((Q9/$O$1)*(X9*1.3333111)),((Q9/$O$1)*(X9*2.6666667))),IF(K9="Lembur Biasa",IF(Q9&lt;$O$1,((Q9/$O$1)*P9),((Q9/$O$1)*P9)),IF(Q9&lt;$O$1,((Q9/$O$1)*(X9*1.3333111)),((Q9/$O$1)*(X9*2.6666667)))))</f>
        <v>34682.6671002</v>
      </c>
      <c r="S9" s="116">
        <f t="shared" si="5"/>
        <v>4.1666666999999998E-2</v>
      </c>
      <c r="T9" s="115">
        <f>IF(K9="Lembur Terpendek Hari Merah",IF(S9&lt;$O$1,((S9/$O$1)*(X9*2.6666667)),((S9/$O$1)*(X9*1.3333111))),IF(K9="Lembur Biasa",IF(S9&lt;$O$1,((S9/$O$1)*R9),((S9/$O$1)*R9)),IF(S9&lt;$O$1,((S9/$O$1)*(X9*2.6666667)),((S9/$O$1)*(X9*1.3333111)))))</f>
        <v>17341.044166600001</v>
      </c>
      <c r="U9" s="116">
        <f t="shared" si="6"/>
        <v>1.0416662333333326E-2</v>
      </c>
      <c r="V9" s="115">
        <f>IF(K9="Lembur Terpendek Hari Merah",IF(U9&lt;$O$1,((U9/$O$1)*(X9*1.3333111)),((U9/$O$1)*(X9*2.6666667))),IF(K9="Lembur Biasa",IF(U9&lt;$O$1,((U9/$O$1)*T9),((U9/$O$1)*T9)),IF(U9&lt;$O$1,((U9/$O$1)*(X9*2.6666667)),((U9/$O$1)*(X9*1.3333111)))))</f>
        <v>8670.6630986873115</v>
      </c>
      <c r="W9" s="115" t="str">
        <f t="shared" si="8"/>
        <v/>
      </c>
      <c r="X9" s="70">
        <f t="shared" si="9"/>
        <v>13006</v>
      </c>
      <c r="Y9" s="48"/>
    </row>
    <row r="10" spans="1:27" ht="18" customHeight="1" x14ac:dyDescent="0.3">
      <c r="A10" s="41">
        <f t="shared" ref="A10" si="14">A9+1</f>
        <v>4</v>
      </c>
      <c r="B10" s="42">
        <f>IFERROR(INDEX('[1]Status Karyawan'!$B$4:$B$60,MATCH(C10,'[1]Status Karyawan'!$C$4:$C$60,0)),"")</f>
        <v>1023</v>
      </c>
      <c r="C10" s="43" t="s">
        <v>29</v>
      </c>
      <c r="D10" s="44" t="s">
        <v>33</v>
      </c>
      <c r="E10" s="45" t="str">
        <f t="shared" si="10"/>
        <v>Sabtu</v>
      </c>
      <c r="F10" s="45"/>
      <c r="G10" s="46">
        <v>0.33333333333333331</v>
      </c>
      <c r="H10" s="46">
        <v>0.54166666666666663</v>
      </c>
      <c r="I10" s="46">
        <v>0.32708333333333334</v>
      </c>
      <c r="J10" s="46">
        <v>0.65625</v>
      </c>
      <c r="K10" s="76" t="s">
        <v>83</v>
      </c>
      <c r="L10" s="66">
        <f t="shared" si="11"/>
        <v>0.32291666666666669</v>
      </c>
      <c r="M10" s="66">
        <f t="shared" si="2"/>
        <v>0.20833334000000001</v>
      </c>
      <c r="N10" s="117">
        <f>IF(K10="Lembur Terpendek Hari Merah",(M10/$O$1)*(X10*1.3333111),IF(K10="Lembur Biasa",(M10/$O$1)*X10,IF(AND(K10="Lembur Hari Merah",M10&gt;0.25),(M10/$O$1)*(X10*1.3333111),(M10/$O$1)*(X10*2))))</f>
        <v>86705.222913925289</v>
      </c>
      <c r="O10" s="114">
        <f t="shared" si="12"/>
        <v>4.1666666999999998E-2</v>
      </c>
      <c r="P10" s="110">
        <f>IF(K10="Lembur Terpendek Hari Merah",IF(O10&lt;$O$1,((O10/$O$1)*(X10*2)),((O10/$O$1)*(X10*2))),IF(K10="Lembur Biasa",IF(O10&lt;$O$1,((O10/$O$1)*N10),((O10/$O$1)*N10)+(0.3333111*N10)),IF(O10&lt;$O$1,((O10/$O$1)*(X10*2)),((O10/$O$1)*(X10*2)))))</f>
        <v>26012</v>
      </c>
      <c r="Q10" s="114">
        <f t="shared" si="13"/>
        <v>4.1666666999999998E-2</v>
      </c>
      <c r="R10" s="110">
        <f>IF(K10="Lembur Terpendek Hari Merah",IF(Q10&lt;$O$1,((Q10/$O$1)*(X10*1.3333111)),((Q10/$O$1)*(X10*2.6666667))),IF(K10="Lembur Biasa",IF(Q10&lt;$O$1,((Q10/$O$1)*P10),((Q10/$O$1)*P10)),IF(Q10&lt;$O$1,((Q10/$O$1)*(X10*1.3333111)),((Q10/$O$1)*(X10*2.6666667)))))</f>
        <v>34682.6671002</v>
      </c>
      <c r="S10" s="114">
        <f t="shared" si="5"/>
        <v>3.1249992666666671E-2</v>
      </c>
      <c r="T10" s="110">
        <f>IF(K10="Lembur Terpendek Hari Merah",IF(S10&lt;$O$1,((S10/$O$1)*(X10*2.6666667)),((S10/$O$1)*(X10*1.3333111))),IF(K10="Lembur Biasa",IF(S10&lt;$O$1,((S10/$O$1)*R10),((S10/$O$1)*R10)),IF(S10&lt;$O$1,((S10/$O$1)*(X10*2.6666667)),((S10/$O$1)*(X10*1.3333111)))))</f>
        <v>26011.994012904644</v>
      </c>
      <c r="U10" s="114">
        <f t="shared" si="6"/>
        <v>0</v>
      </c>
      <c r="V10" s="110">
        <f t="shared" si="7"/>
        <v>0</v>
      </c>
      <c r="W10" s="110">
        <f t="shared" si="8"/>
        <v>173411.88402702994</v>
      </c>
      <c r="X10" s="70">
        <f t="shared" si="9"/>
        <v>13006</v>
      </c>
      <c r="Y10" s="48" t="s">
        <v>34</v>
      </c>
    </row>
    <row r="11" spans="1:27" x14ac:dyDescent="0.3">
      <c r="P11" s="38" t="s">
        <v>97</v>
      </c>
    </row>
    <row r="12" spans="1:27" x14ac:dyDescent="0.3">
      <c r="F12" s="45" t="s">
        <v>93</v>
      </c>
      <c r="G12" s="46">
        <v>0.41666666666666669</v>
      </c>
      <c r="H12" s="46">
        <v>0.75</v>
      </c>
      <c r="I12" s="46">
        <v>0.39374999999999999</v>
      </c>
      <c r="J12" s="47">
        <v>0.89583333333333337</v>
      </c>
      <c r="K12" s="75" t="s">
        <v>44</v>
      </c>
      <c r="L12" s="66">
        <v>0.14583333333333334</v>
      </c>
      <c r="M12" s="66">
        <v>4.1666666999999998E-2</v>
      </c>
      <c r="N12" s="108">
        <v>13006</v>
      </c>
      <c r="O12" s="111">
        <v>4.1666666999999998E-2</v>
      </c>
      <c r="P12" s="108">
        <v>17341.044166600001</v>
      </c>
      <c r="Q12" s="111">
        <v>4.1666666999999998E-2</v>
      </c>
      <c r="R12" s="108">
        <v>17341.044166600001</v>
      </c>
      <c r="S12" s="111">
        <v>2.0833333333333332E-2</v>
      </c>
      <c r="T12" s="108">
        <v>8670.5202312138717</v>
      </c>
      <c r="U12" s="108"/>
      <c r="V12" s="108"/>
      <c r="W12" s="108">
        <f>N12+P12+R12+T12</f>
        <v>56358.608564413873</v>
      </c>
      <c r="X12" s="70">
        <v>13006</v>
      </c>
      <c r="Y12" s="48" t="s">
        <v>34</v>
      </c>
      <c r="AA12" s="35" t="s">
        <v>98</v>
      </c>
    </row>
    <row r="13" spans="1:27" x14ac:dyDescent="0.3"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7" x14ac:dyDescent="0.3">
      <c r="A14" s="41">
        <f>A16+1</f>
        <v>1</v>
      </c>
      <c r="B14" s="42" t="str">
        <f>IFERROR(INDEX('[1]Status Karyawan'!$B$4:$B$60,MATCH(C14,'[1]Status Karyawan'!$C$4:$C$60,0)),"")</f>
        <v/>
      </c>
      <c r="F14" s="45" t="s">
        <v>94</v>
      </c>
      <c r="G14" s="46">
        <v>0.33333333333333331</v>
      </c>
      <c r="H14" s="46">
        <v>0.54166666666666663</v>
      </c>
      <c r="I14" s="46">
        <v>0.32708333333333334</v>
      </c>
      <c r="J14" s="46">
        <v>0.60416666666666663</v>
      </c>
      <c r="K14" s="76" t="s">
        <v>45</v>
      </c>
      <c r="L14" s="66">
        <v>0.25000000000000006</v>
      </c>
      <c r="M14" s="66">
        <v>0.25</v>
      </c>
      <c r="N14" s="107">
        <f>P10*6</f>
        <v>156072</v>
      </c>
      <c r="O14" s="47">
        <v>2.0833333333333332E-2</v>
      </c>
      <c r="P14" s="107">
        <v>13005.780346820808</v>
      </c>
      <c r="Q14" s="47">
        <v>0</v>
      </c>
      <c r="R14" s="107">
        <v>0</v>
      </c>
      <c r="S14" s="47">
        <v>0</v>
      </c>
      <c r="T14" s="107">
        <v>0</v>
      </c>
      <c r="U14" s="107"/>
      <c r="V14" s="107"/>
      <c r="W14" s="107">
        <f>N14+P14</f>
        <v>169077.7803468208</v>
      </c>
      <c r="X14" s="70">
        <v>13006</v>
      </c>
      <c r="Y14" s="48" t="s">
        <v>34</v>
      </c>
      <c r="AA14" s="35" t="s">
        <v>99</v>
      </c>
    </row>
    <row r="15" spans="1:27" x14ac:dyDescent="0.3">
      <c r="A15" s="73"/>
      <c r="B15" s="7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7" x14ac:dyDescent="0.3">
      <c r="F16" s="45" t="s">
        <v>95</v>
      </c>
      <c r="G16" s="46">
        <v>0.33333333333333331</v>
      </c>
      <c r="H16" s="46">
        <v>0.54166666666666663</v>
      </c>
      <c r="I16" s="46">
        <v>0.32708333333333334</v>
      </c>
      <c r="J16" s="46">
        <v>0.72916666666666663</v>
      </c>
      <c r="K16" s="76" t="s">
        <v>45</v>
      </c>
      <c r="L16" s="66">
        <v>0.39583333333333331</v>
      </c>
      <c r="M16" s="66">
        <v>0.29166666899999999</v>
      </c>
      <c r="N16" s="109">
        <v>121387.30006199999</v>
      </c>
      <c r="O16" s="112">
        <v>4.1666666999999998E-2</v>
      </c>
      <c r="P16" s="113">
        <v>26011.560693641615</v>
      </c>
      <c r="Q16" s="112">
        <v>4.1666666999999998E-2</v>
      </c>
      <c r="R16" s="109">
        <v>34682.080924855487</v>
      </c>
      <c r="S16" s="112">
        <v>2.0833330333333344E-2</v>
      </c>
      <c r="T16" s="109">
        <v>17341.040462427743</v>
      </c>
      <c r="U16" s="109"/>
      <c r="V16" s="109"/>
      <c r="W16" s="109">
        <f>T16+R16+P16+N16</f>
        <v>199421.98214292485</v>
      </c>
      <c r="X16" s="70">
        <v>13006</v>
      </c>
      <c r="Y16" s="48" t="s">
        <v>34</v>
      </c>
    </row>
    <row r="17" spans="6:26" x14ac:dyDescent="0.3">
      <c r="G17" s="37"/>
      <c r="H17" s="37"/>
      <c r="I17" s="37"/>
      <c r="J17" s="37"/>
      <c r="K17" s="37"/>
      <c r="L17" s="37"/>
      <c r="M17" s="37"/>
      <c r="N17" s="37"/>
      <c r="O17" s="37"/>
      <c r="P17" s="37" t="s">
        <v>102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6:26" ht="15.75" customHeight="1" x14ac:dyDescent="0.3">
      <c r="F18" s="45" t="s">
        <v>96</v>
      </c>
      <c r="G18" s="46">
        <v>0.33333333333333331</v>
      </c>
      <c r="H18" s="46">
        <v>0.54166666666666663</v>
      </c>
      <c r="I18" s="46">
        <v>0.32708333333333334</v>
      </c>
      <c r="J18" s="46">
        <v>0.65625</v>
      </c>
      <c r="K18" s="71" t="s">
        <v>83</v>
      </c>
      <c r="L18" s="66">
        <v>0.32291666666666669</v>
      </c>
      <c r="M18" s="66">
        <v>0.20833333499999998</v>
      </c>
      <c r="N18" s="110">
        <v>86705.220832999999</v>
      </c>
      <c r="O18" s="114">
        <v>4.1666666999999998E-2</v>
      </c>
      <c r="P18" s="110">
        <v>26011.560693641615</v>
      </c>
      <c r="Q18" s="114">
        <v>4.1666666999999998E-2</v>
      </c>
      <c r="R18" s="110">
        <v>34682.080924855487</v>
      </c>
      <c r="S18" s="114">
        <v>3.125E-2</v>
      </c>
      <c r="T18" s="110">
        <v>26011.560693641615</v>
      </c>
      <c r="U18" s="110"/>
      <c r="V18" s="110"/>
      <c r="W18" s="110">
        <f>T18+R18+P18+N18</f>
        <v>173410.42314513872</v>
      </c>
      <c r="X18" s="70">
        <v>13006</v>
      </c>
      <c r="Y18" s="48" t="s">
        <v>34</v>
      </c>
    </row>
  </sheetData>
  <dataConsolidate/>
  <mergeCells count="17">
    <mergeCell ref="V3:V5"/>
    <mergeCell ref="X3:X5"/>
    <mergeCell ref="Y3:Y5"/>
    <mergeCell ref="I3:J4"/>
    <mergeCell ref="K3:K5"/>
    <mergeCell ref="A3:A5"/>
    <mergeCell ref="B3:B5"/>
    <mergeCell ref="C3:C5"/>
    <mergeCell ref="D3:D5"/>
    <mergeCell ref="E3:E5"/>
    <mergeCell ref="G3:H4"/>
    <mergeCell ref="L3:L5"/>
    <mergeCell ref="W3:W5"/>
    <mergeCell ref="N3:N5"/>
    <mergeCell ref="P3:P5"/>
    <mergeCell ref="R3:R5"/>
    <mergeCell ref="T3:T5"/>
  </mergeCells>
  <conditionalFormatting sqref="E6:F10 F14:F15">
    <cfRule type="cellIs" dxfId="11" priority="13" stopIfTrue="1" operator="equal">
      <formula>"acct"</formula>
    </cfRule>
    <cfRule type="cellIs" dxfId="10" priority="14" stopIfTrue="1" operator="equal">
      <formula>"amnt"</formula>
    </cfRule>
    <cfRule type="cellIs" dxfId="9" priority="15" stopIfTrue="1" operator="equal">
      <formula>"balance"</formula>
    </cfRule>
  </conditionalFormatting>
  <conditionalFormatting sqref="F12">
    <cfRule type="cellIs" dxfId="8" priority="7" stopIfTrue="1" operator="equal">
      <formula>"acct"</formula>
    </cfRule>
    <cfRule type="cellIs" dxfId="7" priority="8" stopIfTrue="1" operator="equal">
      <formula>"amnt"</formula>
    </cfRule>
    <cfRule type="cellIs" dxfId="6" priority="9" stopIfTrue="1" operator="equal">
      <formula>"balance"</formula>
    </cfRule>
  </conditionalFormatting>
  <conditionalFormatting sqref="F16">
    <cfRule type="cellIs" dxfId="5" priority="4" stopIfTrue="1" operator="equal">
      <formula>"acct"</formula>
    </cfRule>
    <cfRule type="cellIs" dxfId="4" priority="5" stopIfTrue="1" operator="equal">
      <formula>"amnt"</formula>
    </cfRule>
    <cfRule type="cellIs" dxfId="3" priority="6" stopIfTrue="1" operator="equal">
      <formula>"balance"</formula>
    </cfRule>
  </conditionalFormatting>
  <conditionalFormatting sqref="F18">
    <cfRule type="cellIs" dxfId="2" priority="1" stopIfTrue="1" operator="equal">
      <formula>"acct"</formula>
    </cfRule>
    <cfRule type="cellIs" dxfId="1" priority="2" stopIfTrue="1" operator="equal">
      <formula>"amnt"</formula>
    </cfRule>
    <cfRule type="cellIs" dxfId="0" priority="3" stopIfTrue="1" operator="equal">
      <formula>"balance"</formula>
    </cfRule>
  </conditionalFormatting>
  <pageMargins left="0.7" right="0.7" top="0.75" bottom="0.75" header="0.3" footer="0.3"/>
  <pageSetup paperSize="768"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L7" workbookViewId="0">
      <selection activeCell="N16" sqref="N16"/>
    </sheetView>
  </sheetViews>
  <sheetFormatPr defaultRowHeight="15" x14ac:dyDescent="0.25"/>
  <cols>
    <col min="4" max="4" width="11.5703125" customWidth="1"/>
    <col min="7" max="7" width="50.42578125" customWidth="1"/>
    <col min="11" max="11" width="29.28515625" customWidth="1"/>
    <col min="12" max="12" width="24.28515625" customWidth="1"/>
    <col min="13" max="13" width="22.5703125" customWidth="1"/>
    <col min="14" max="14" width="14.28515625" bestFit="1" customWidth="1"/>
    <col min="15" max="15" width="9.5703125" bestFit="1" customWidth="1"/>
    <col min="17" max="17" width="11.5703125" bestFit="1" customWidth="1"/>
    <col min="18" max="18" width="10.5703125" bestFit="1" customWidth="1"/>
    <col min="20" max="20" width="10.5703125" bestFit="1" customWidth="1"/>
  </cols>
  <sheetData>
    <row r="1" spans="1:20" ht="30" x14ac:dyDescent="0.3">
      <c r="A1" s="1" t="s">
        <v>0</v>
      </c>
      <c r="B1" s="2"/>
      <c r="C1" s="98" t="s">
        <v>29</v>
      </c>
      <c r="D1" s="99"/>
      <c r="E1" s="99"/>
      <c r="F1" s="99"/>
      <c r="G1" s="100"/>
      <c r="I1" s="56"/>
      <c r="J1" s="58" t="s">
        <v>17</v>
      </c>
      <c r="K1" s="60" t="s">
        <v>47</v>
      </c>
      <c r="L1" s="61" t="s">
        <v>48</v>
      </c>
    </row>
    <row r="2" spans="1:20" ht="105" customHeight="1" x14ac:dyDescent="0.25">
      <c r="A2" s="3"/>
      <c r="B2" s="4"/>
      <c r="C2" s="5" t="s">
        <v>1</v>
      </c>
      <c r="D2" s="6"/>
      <c r="E2" s="7"/>
      <c r="F2" s="8"/>
      <c r="G2" s="9">
        <v>1500000</v>
      </c>
      <c r="J2" s="57">
        <v>1</v>
      </c>
      <c r="K2" s="59" t="s">
        <v>49</v>
      </c>
      <c r="L2" s="62" t="s">
        <v>50</v>
      </c>
    </row>
    <row r="3" spans="1:20" ht="30" x14ac:dyDescent="0.25">
      <c r="A3" s="3" t="s">
        <v>2</v>
      </c>
      <c r="B3" s="4"/>
      <c r="C3" s="10">
        <v>26</v>
      </c>
      <c r="D3" s="11">
        <v>1500000</v>
      </c>
      <c r="E3" s="7"/>
      <c r="F3" s="8"/>
      <c r="G3" s="11"/>
      <c r="J3" s="101">
        <v>2</v>
      </c>
      <c r="K3" s="104" t="s">
        <v>51</v>
      </c>
      <c r="L3" s="62" t="s">
        <v>52</v>
      </c>
      <c r="M3" s="65"/>
    </row>
    <row r="4" spans="1:20" ht="30" x14ac:dyDescent="0.25">
      <c r="A4" s="12" t="s">
        <v>3</v>
      </c>
      <c r="B4" s="13"/>
      <c r="C4" s="14">
        <v>1</v>
      </c>
      <c r="D4" s="15" t="s">
        <v>4</v>
      </c>
      <c r="E4" s="16"/>
      <c r="F4" s="17"/>
      <c r="G4" s="18"/>
      <c r="J4" s="102"/>
      <c r="K4" s="105"/>
      <c r="L4" s="62" t="s">
        <v>53</v>
      </c>
    </row>
    <row r="5" spans="1:20" ht="45" x14ac:dyDescent="0.25">
      <c r="A5" s="3" t="s">
        <v>5</v>
      </c>
      <c r="B5" s="4"/>
      <c r="C5" s="10">
        <v>25</v>
      </c>
      <c r="D5" s="19">
        <v>20000</v>
      </c>
      <c r="E5" s="20"/>
      <c r="F5" s="8"/>
      <c r="G5" s="11">
        <f>C5*D5</f>
        <v>500000</v>
      </c>
      <c r="J5" s="103"/>
      <c r="K5" s="106"/>
      <c r="L5" s="62" t="s">
        <v>54</v>
      </c>
    </row>
    <row r="6" spans="1:20" ht="30" x14ac:dyDescent="0.25">
      <c r="A6" s="3" t="s">
        <v>6</v>
      </c>
      <c r="B6" s="4"/>
      <c r="C6" s="10">
        <v>25</v>
      </c>
      <c r="D6" s="19">
        <v>15000</v>
      </c>
      <c r="E6" s="20"/>
      <c r="F6" s="8"/>
      <c r="G6" s="11">
        <f>C6*D6</f>
        <v>375000</v>
      </c>
      <c r="J6" s="101">
        <v>3</v>
      </c>
      <c r="K6" s="104" t="s">
        <v>55</v>
      </c>
      <c r="L6" s="62" t="s">
        <v>56</v>
      </c>
    </row>
    <row r="7" spans="1:20" ht="30" x14ac:dyDescent="0.25">
      <c r="A7" s="3" t="s">
        <v>7</v>
      </c>
      <c r="B7" s="4"/>
      <c r="C7" s="10">
        <v>0</v>
      </c>
      <c r="D7" s="11">
        <v>100000</v>
      </c>
      <c r="E7" s="20"/>
      <c r="F7" s="8"/>
      <c r="G7" s="11">
        <f>C7*D7</f>
        <v>0</v>
      </c>
      <c r="J7" s="102"/>
      <c r="K7" s="105"/>
      <c r="L7" s="62" t="s">
        <v>57</v>
      </c>
    </row>
    <row r="8" spans="1:20" ht="45" x14ac:dyDescent="0.25">
      <c r="A8" s="21" t="s">
        <v>8</v>
      </c>
      <c r="B8" s="21"/>
      <c r="C8" s="22"/>
      <c r="D8" s="69" t="s">
        <v>82</v>
      </c>
      <c r="E8" s="23"/>
      <c r="F8" s="24"/>
      <c r="G8" s="67">
        <f>SUMIF('input absen '!C6:C10,Sheet1!C1,'input absen '!W6:W10)</f>
        <v>598271.80217903969</v>
      </c>
      <c r="J8" s="103"/>
      <c r="K8" s="106"/>
      <c r="L8" s="62" t="s">
        <v>58</v>
      </c>
    </row>
    <row r="9" spans="1:20" ht="20.25" x14ac:dyDescent="0.3">
      <c r="A9" s="3"/>
      <c r="B9" s="4"/>
      <c r="C9" s="26"/>
      <c r="D9" s="26"/>
      <c r="E9" s="30" t="s">
        <v>9</v>
      </c>
      <c r="F9" s="31"/>
      <c r="G9" s="64">
        <f>SUM(G2:G8)-SUM(G10:G20)+G12</f>
        <v>2973271.8021790395</v>
      </c>
      <c r="J9" s="56"/>
    </row>
    <row r="10" spans="1:20" x14ac:dyDescent="0.25">
      <c r="J10" s="49" t="s">
        <v>35</v>
      </c>
    </row>
    <row r="11" spans="1:20" ht="67.5" customHeight="1" x14ac:dyDescent="0.25">
      <c r="J11" s="90" t="s">
        <v>10</v>
      </c>
      <c r="K11" s="91"/>
      <c r="M11" s="54"/>
      <c r="N11" s="32" t="s">
        <v>11</v>
      </c>
      <c r="O11" s="32" t="s">
        <v>12</v>
      </c>
      <c r="P11" s="33" t="s">
        <v>13</v>
      </c>
      <c r="Q11" s="32" t="s">
        <v>12</v>
      </c>
    </row>
    <row r="12" spans="1:20" x14ac:dyDescent="0.25">
      <c r="J12" s="92"/>
      <c r="K12" s="93"/>
      <c r="L12" s="53">
        <f>1/173*1500000</f>
        <v>8670.5202312138717</v>
      </c>
      <c r="N12" s="25">
        <v>13006</v>
      </c>
      <c r="O12" s="34">
        <v>216.76666666666668</v>
      </c>
      <c r="P12" s="25">
        <v>17341.040462427743</v>
      </c>
      <c r="Q12" s="34">
        <v>289.01734104046238</v>
      </c>
      <c r="R12" s="54">
        <f>M14*30</f>
        <v>8670.5202312138717</v>
      </c>
      <c r="S12" s="55">
        <f>1/173*1500000</f>
        <v>8670.5202312138717</v>
      </c>
    </row>
    <row r="13" spans="1:20" ht="54" customHeight="1" x14ac:dyDescent="0.25">
      <c r="J13" s="94" t="s">
        <v>14</v>
      </c>
      <c r="K13" s="95"/>
      <c r="L13" s="32" t="s">
        <v>15</v>
      </c>
      <c r="M13" s="32" t="s">
        <v>12</v>
      </c>
      <c r="N13" s="33" t="s">
        <v>16</v>
      </c>
      <c r="O13" s="32" t="s">
        <v>12</v>
      </c>
      <c r="P13" s="33" t="s">
        <v>100</v>
      </c>
      <c r="Q13" s="32" t="s">
        <v>12</v>
      </c>
      <c r="R13" s="33" t="s">
        <v>101</v>
      </c>
      <c r="S13" s="32" t="s">
        <v>12</v>
      </c>
    </row>
    <row r="14" spans="1:20" x14ac:dyDescent="0.25">
      <c r="J14" s="96"/>
      <c r="K14" s="97"/>
      <c r="L14" s="25">
        <v>17341.040462427743</v>
      </c>
      <c r="M14" s="34">
        <v>289.01734104046238</v>
      </c>
      <c r="N14" s="25">
        <v>26011.560693641615</v>
      </c>
      <c r="O14" s="34">
        <v>433.52601156069358</v>
      </c>
      <c r="P14" s="25">
        <v>34682.080924855487</v>
      </c>
      <c r="Q14" s="34">
        <v>578.03468208092477</v>
      </c>
      <c r="R14" s="25">
        <v>34682.080924855487</v>
      </c>
      <c r="S14" s="34">
        <v>578.03468208092477</v>
      </c>
    </row>
    <row r="15" spans="1:20" ht="40.5" x14ac:dyDescent="0.25">
      <c r="J15" s="94" t="s">
        <v>67</v>
      </c>
      <c r="K15" s="95"/>
      <c r="L15" s="32" t="s">
        <v>68</v>
      </c>
      <c r="M15" s="32" t="s">
        <v>12</v>
      </c>
      <c r="N15" s="32" t="s">
        <v>69</v>
      </c>
      <c r="O15" s="32" t="s">
        <v>12</v>
      </c>
      <c r="P15" s="32" t="s">
        <v>70</v>
      </c>
      <c r="Q15" s="32" t="s">
        <v>12</v>
      </c>
      <c r="R15" s="32" t="s">
        <v>71</v>
      </c>
      <c r="S15" s="32" t="s">
        <v>12</v>
      </c>
    </row>
    <row r="16" spans="1:20" x14ac:dyDescent="0.25">
      <c r="J16" s="96"/>
      <c r="K16" s="97"/>
      <c r="L16" s="25">
        <v>17341.040462427743</v>
      </c>
      <c r="M16" s="34">
        <v>289.01734104046238</v>
      </c>
      <c r="N16" s="25">
        <v>26011.560693641615</v>
      </c>
      <c r="O16" s="34">
        <v>433.52601156069358</v>
      </c>
      <c r="P16" s="25">
        <v>34682.080924855487</v>
      </c>
      <c r="Q16" s="34">
        <v>578.03468208092477</v>
      </c>
      <c r="R16" s="25">
        <v>34682.080924855487</v>
      </c>
      <c r="S16" s="34">
        <v>578.03468208092477</v>
      </c>
      <c r="T16" s="54">
        <f>S16*45</f>
        <v>26011.560693641615</v>
      </c>
    </row>
    <row r="18" spans="1:18" x14ac:dyDescent="0.25">
      <c r="J18" t="s">
        <v>37</v>
      </c>
    </row>
    <row r="19" spans="1:18" x14ac:dyDescent="0.25">
      <c r="J19" t="s">
        <v>39</v>
      </c>
      <c r="Q19" s="54">
        <f>P16/60</f>
        <v>578.03468208092477</v>
      </c>
      <c r="R19" s="54">
        <f>Q19*30</f>
        <v>17341.040462427743</v>
      </c>
    </row>
    <row r="20" spans="1:18" x14ac:dyDescent="0.25">
      <c r="J20" t="s">
        <v>41</v>
      </c>
    </row>
    <row r="21" spans="1:18" x14ac:dyDescent="0.25">
      <c r="A21" s="27"/>
      <c r="B21" s="27"/>
      <c r="C21" s="28"/>
      <c r="D21" s="29"/>
      <c r="J21" t="s">
        <v>40</v>
      </c>
    </row>
    <row r="22" spans="1:18" x14ac:dyDescent="0.25">
      <c r="J22" t="s">
        <v>43</v>
      </c>
    </row>
    <row r="23" spans="1:18" ht="40.5" customHeight="1" x14ac:dyDescent="0.25">
      <c r="J23" t="s">
        <v>36</v>
      </c>
      <c r="N23" s="54"/>
      <c r="O23" s="54"/>
    </row>
    <row r="24" spans="1:18" x14ac:dyDescent="0.25">
      <c r="J24" t="s">
        <v>38</v>
      </c>
      <c r="M24" s="55"/>
      <c r="N24" s="54"/>
      <c r="O24" s="54"/>
    </row>
    <row r="25" spans="1:18" ht="40.5" customHeight="1" x14ac:dyDescent="0.25">
      <c r="G25" t="s">
        <v>62</v>
      </c>
      <c r="H25" s="63">
        <v>0.41666666666666669</v>
      </c>
      <c r="I25" s="63">
        <v>0.75</v>
      </c>
      <c r="J25" t="s">
        <v>42</v>
      </c>
      <c r="N25" s="54"/>
      <c r="Q25" s="54"/>
    </row>
    <row r="26" spans="1:18" x14ac:dyDescent="0.25">
      <c r="J26" t="s">
        <v>46</v>
      </c>
    </row>
    <row r="27" spans="1:18" ht="40.5" customHeight="1" x14ac:dyDescent="0.25">
      <c r="G27" t="s">
        <v>63</v>
      </c>
      <c r="H27" s="63">
        <v>0.41666666666666669</v>
      </c>
      <c r="I27" s="63">
        <v>0.8125</v>
      </c>
      <c r="J27" t="s">
        <v>59</v>
      </c>
    </row>
    <row r="28" spans="1:18" x14ac:dyDescent="0.25">
      <c r="G28" t="s">
        <v>64</v>
      </c>
      <c r="H28" s="63">
        <v>0.41666666666666669</v>
      </c>
      <c r="I28" s="63">
        <v>0.85416666666666663</v>
      </c>
      <c r="J28" t="s">
        <v>61</v>
      </c>
    </row>
    <row r="29" spans="1:18" x14ac:dyDescent="0.25">
      <c r="G29" t="s">
        <v>65</v>
      </c>
      <c r="H29" s="63">
        <v>0.33333333333333331</v>
      </c>
      <c r="I29" s="63">
        <v>0.64583333333333337</v>
      </c>
      <c r="J29" t="s">
        <v>60</v>
      </c>
    </row>
    <row r="30" spans="1:18" x14ac:dyDescent="0.25">
      <c r="G30" t="s">
        <v>65</v>
      </c>
      <c r="H30" s="63">
        <v>0.33333333333333331</v>
      </c>
      <c r="I30" s="63">
        <v>0.64583333333333337</v>
      </c>
      <c r="J30" t="s">
        <v>66</v>
      </c>
    </row>
  </sheetData>
  <mergeCells count="8">
    <mergeCell ref="J11:K12"/>
    <mergeCell ref="J13:K14"/>
    <mergeCell ref="J15:K16"/>
    <mergeCell ref="C1:G1"/>
    <mergeCell ref="J3:J5"/>
    <mergeCell ref="K3:K5"/>
    <mergeCell ref="J6:J8"/>
    <mergeCell ref="K6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 absen </vt:lpstr>
      <vt:lpstr>Sheet1</vt:lpstr>
      <vt:lpstr>Sheet2</vt:lpstr>
      <vt:lpstr>Sheet3</vt:lpstr>
    </vt:vector>
  </TitlesOfParts>
  <Company>Unknown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marthen thei</cp:lastModifiedBy>
  <dcterms:created xsi:type="dcterms:W3CDTF">2015-06-05T04:53:46Z</dcterms:created>
  <dcterms:modified xsi:type="dcterms:W3CDTF">2015-06-08T14:26:36Z</dcterms:modified>
</cp:coreProperties>
</file>