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55" windowWidth="19320" windowHeight="7620"/>
  </bookViews>
  <sheets>
    <sheet name="GC 10" sheetId="1" r:id="rId1"/>
  </sheets>
  <externalReferences>
    <externalReference r:id="rId2"/>
  </externalReferences>
  <definedNames>
    <definedName name="_xlnm._FilterDatabase" localSheetId="0" hidden="1">'GC 10'!$I$2:$I$14</definedName>
    <definedName name="a">[1]Sheet1!$F$6</definedName>
    <definedName name="_xlnm.Extract" localSheetId="0">'GC 10'!$D$29</definedName>
    <definedName name="Table1">'GC 10'!$E$29:$F$36</definedName>
    <definedName name="Table2">'GC 10'!$H$29:$I$40</definedName>
    <definedName name="Table3">'GC 10'!$K$29:$L$33</definedName>
  </definedNames>
  <calcPr calcId="125725" calcOnSave="0"/>
</workbook>
</file>

<file path=xl/calcChain.xml><?xml version="1.0" encoding="utf-8"?>
<calcChain xmlns="http://schemas.openxmlformats.org/spreadsheetml/2006/main">
  <c r="I37" i="1"/>
  <c r="H5"/>
  <c r="H6"/>
  <c r="H7"/>
  <c r="H9"/>
  <c r="G3"/>
  <c r="G4"/>
  <c r="G5"/>
  <c r="G6"/>
  <c r="G7"/>
  <c r="G8"/>
  <c r="G9"/>
  <c r="G10"/>
  <c r="G11"/>
  <c r="G12"/>
  <c r="G13"/>
  <c r="G14"/>
  <c r="F14"/>
  <c r="F13"/>
  <c r="F12"/>
  <c r="F11"/>
  <c r="F10"/>
  <c r="F9"/>
  <c r="F8"/>
  <c r="F7"/>
  <c r="F6"/>
  <c r="F5"/>
  <c r="F4"/>
  <c r="F3"/>
  <c r="L1"/>
  <c r="L3" s="1"/>
  <c r="N3" s="1"/>
  <c r="L5" l="1"/>
  <c r="N5" s="1"/>
  <c r="L7"/>
  <c r="N7" s="1"/>
  <c r="L8"/>
  <c r="N8" s="1"/>
  <c r="L9"/>
  <c r="N9" s="1"/>
  <c r="L11"/>
  <c r="N11" s="1"/>
  <c r="L14"/>
  <c r="N14" s="1"/>
  <c r="L13"/>
  <c r="N13" s="1"/>
  <c r="L4"/>
  <c r="N4" s="1"/>
  <c r="L6"/>
  <c r="N6" s="1"/>
  <c r="L10"/>
  <c r="N10" s="1"/>
  <c r="L12"/>
  <c r="N12" s="1"/>
  <c r="M12" l="1"/>
  <c r="M13"/>
  <c r="M11"/>
  <c r="M14"/>
  <c r="M8"/>
  <c r="M5"/>
  <c r="M6"/>
  <c r="M10"/>
  <c r="M4"/>
  <c r="M9"/>
  <c r="M7"/>
  <c r="M3"/>
</calcChain>
</file>

<file path=xl/sharedStrings.xml><?xml version="1.0" encoding="utf-8"?>
<sst xmlns="http://schemas.openxmlformats.org/spreadsheetml/2006/main" count="42" uniqueCount="38">
  <si>
    <t>S. No.</t>
  </si>
  <si>
    <t>Booking date</t>
  </si>
  <si>
    <t>Booked Basic Cost</t>
  </si>
  <si>
    <t>Basic Cost+Lease Rent+Parking (excluding Service Tax</t>
  </si>
  <si>
    <t>Total Rec.(RPT)  Without Interest(Y+Z)</t>
  </si>
  <si>
    <t>Rec, up to 30.6</t>
  </si>
  <si>
    <t>Plan</t>
  </si>
  <si>
    <t>Parking Cost</t>
  </si>
  <si>
    <t>Lease Rent</t>
  </si>
  <si>
    <t>DAYS</t>
  </si>
  <si>
    <t>TOTAL DUE</t>
  </si>
  <si>
    <t>D/P</t>
  </si>
  <si>
    <t>I/P</t>
  </si>
  <si>
    <t>F/P</t>
  </si>
  <si>
    <t>LX No.</t>
  </si>
  <si>
    <t>PARTY</t>
  </si>
  <si>
    <t xml:space="preserve"> M.  mit bh L loiy </t>
  </si>
  <si>
    <t xml:space="preserve"> Shi B nu  m Goy l</t>
  </si>
  <si>
    <t xml:space="preserve"> L te Shi  j P l D tt </t>
  </si>
  <si>
    <t xml:space="preserve"> M. Sunil Kh tw ni</t>
  </si>
  <si>
    <t xml:space="preserve"> M. V ibh v Ch uh n</t>
  </si>
  <si>
    <t xml:space="preserve"> M. Vij y G u</t>
  </si>
  <si>
    <t xml:space="preserve"> M. Giish Ch nd </t>
  </si>
  <si>
    <t xml:space="preserve"> Lt. Shi D.N. S xen </t>
  </si>
  <si>
    <t xml:space="preserve"> M. J g t Singh P nw </t>
  </si>
  <si>
    <t xml:space="preserve"> Shi  jit Singh J in</t>
  </si>
  <si>
    <t xml:space="preserve"> M. .P. Dobh l</t>
  </si>
  <si>
    <t xml:space="preserve"> Sh.  mesh Ch nde Chop </t>
  </si>
  <si>
    <t xml:space="preserve">F/p  </t>
  </si>
  <si>
    <t xml:space="preserve">I/p  </t>
  </si>
  <si>
    <t>F3*5%</t>
  </si>
  <si>
    <t xml:space="preserve">d/p  </t>
  </si>
  <si>
    <t>F3*10%</t>
  </si>
  <si>
    <t>-H3</t>
  </si>
  <si>
    <t>*2.575%-G3</t>
  </si>
  <si>
    <t>F3*F30</t>
  </si>
  <si>
    <t>&lt;=</t>
  </si>
  <si>
    <t xml:space="preserve">Values for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</si>
</sst>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Bell MT"/>
      <family val="1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6" fontId="2" fillId="0" borderId="0" xfId="1" applyNumberFormat="1" applyFont="1" applyFill="1" applyBorder="1" applyAlignment="1" applyProtection="1">
      <alignment horizontal="center"/>
      <protection locked="0" hidden="1"/>
    </xf>
    <xf numFmtId="49" fontId="2" fillId="0" borderId="0" xfId="1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Protection="1">
      <protection locked="0" hidden="1"/>
    </xf>
    <xf numFmtId="14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14" fontId="2" fillId="0" borderId="0" xfId="1" applyNumberFormat="1" applyFont="1" applyFill="1" applyBorder="1" applyAlignment="1" applyProtection="1">
      <alignment horizontal="center"/>
      <protection locked="0" hidden="1"/>
    </xf>
    <xf numFmtId="164" fontId="2" fillId="0" borderId="0" xfId="1" applyNumberFormat="1" applyFont="1" applyFill="1" applyBorder="1" applyAlignment="1" applyProtection="1">
      <alignment horizontal="center" wrapText="1"/>
      <protection locked="0" hidden="1"/>
    </xf>
    <xf numFmtId="1" fontId="2" fillId="0" borderId="0" xfId="0" applyNumberFormat="1" applyFont="1" applyFill="1" applyBorder="1" applyProtection="1">
      <protection hidden="1"/>
    </xf>
    <xf numFmtId="14" fontId="2" fillId="0" borderId="0" xfId="0" applyNumberFormat="1" applyFont="1" applyFill="1" applyBorder="1" applyProtection="1">
      <protection locked="0" hidden="1"/>
    </xf>
    <xf numFmtId="0" fontId="2" fillId="0" borderId="0" xfId="0" applyFont="1" applyFill="1" applyBorder="1" applyProtection="1">
      <protection hidden="1"/>
    </xf>
    <xf numFmtId="49" fontId="5" fillId="0" borderId="0" xfId="1" applyNumberFormat="1" applyFont="1" applyFill="1" applyBorder="1" applyAlignment="1" applyProtection="1">
      <alignment horizontal="center" vertical="center"/>
      <protection locked="0" hidden="1"/>
    </xf>
    <xf numFmtId="166" fontId="5" fillId="0" borderId="0" xfId="1" applyNumberFormat="1" applyFont="1" applyFill="1" applyBorder="1" applyAlignment="1" applyProtection="1">
      <alignment horizontal="center" vertical="center"/>
      <protection locked="0" hidden="1"/>
    </xf>
    <xf numFmtId="14" fontId="5" fillId="0" borderId="0" xfId="1" applyNumberFormat="1" applyFont="1" applyFill="1" applyBorder="1" applyAlignment="1" applyProtection="1">
      <alignment horizontal="center" vertical="center"/>
      <protection locked="0"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Protection="1">
      <protection locked="0" hidden="1"/>
    </xf>
    <xf numFmtId="14" fontId="2" fillId="2" borderId="0" xfId="0" applyNumberFormat="1" applyFont="1" applyFill="1" applyBorder="1" applyProtection="1">
      <protection hidden="1"/>
    </xf>
    <xf numFmtId="9" fontId="2" fillId="0" borderId="0" xfId="0" applyNumberFormat="1" applyFont="1" applyFill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9" fontId="2" fillId="3" borderId="1" xfId="21" applyNumberFormat="1" applyFont="1" applyFill="1" applyBorder="1" applyProtection="1">
      <protection locked="0" hidden="1"/>
    </xf>
    <xf numFmtId="9" fontId="2" fillId="3" borderId="1" xfId="0" applyNumberFormat="1" applyFont="1" applyFill="1" applyBorder="1" applyProtection="1">
      <protection locked="0" hidden="1"/>
    </xf>
    <xf numFmtId="166" fontId="2" fillId="0" borderId="0" xfId="0" quotePrefix="1" applyNumberFormat="1" applyFont="1" applyFill="1" applyBorder="1" applyProtection="1">
      <protection locked="0" hidden="1"/>
    </xf>
    <xf numFmtId="0" fontId="4" fillId="3" borderId="2" xfId="0" applyFont="1" applyFill="1" applyBorder="1" applyAlignment="1" applyProtection="1">
      <protection locked="0" hidden="1"/>
    </xf>
    <xf numFmtId="0" fontId="4" fillId="3" borderId="3" xfId="0" applyFont="1" applyFill="1" applyBorder="1" applyAlignment="1" applyProtection="1">
      <protection locked="0" hidden="1"/>
    </xf>
    <xf numFmtId="0" fontId="4" fillId="3" borderId="4" xfId="0" applyFont="1" applyFill="1" applyBorder="1" applyAlignment="1" applyProtection="1"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3" borderId="3" xfId="0" applyFont="1" applyFill="1" applyBorder="1" applyAlignment="1" applyProtection="1">
      <alignment horizontal="center"/>
      <protection locked="0" hidden="1"/>
    </xf>
    <xf numFmtId="0" fontId="4" fillId="3" borderId="4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" fontId="2" fillId="0" borderId="0" xfId="0" applyNumberFormat="1" applyFont="1" applyFill="1" applyBorder="1" applyProtection="1">
      <protection locked="0" hidden="1"/>
    </xf>
  </cellXfs>
  <cellStyles count="22">
    <cellStyle name="Comma" xfId="1" builtinId="3"/>
    <cellStyle name="Comma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2" xfId="11"/>
    <cellStyle name="Normal 2 2" xfId="12"/>
    <cellStyle name="Normal 2 3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" xfId="2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17</xdr:row>
      <xdr:rowOff>47625</xdr:rowOff>
    </xdr:from>
    <xdr:to>
      <xdr:col>14</xdr:col>
      <xdr:colOff>0</xdr:colOff>
      <xdr:row>18</xdr:row>
      <xdr:rowOff>114300</xdr:rowOff>
    </xdr:to>
    <xdr:sp macro="" textlink="">
      <xdr:nvSpPr>
        <xdr:cNvPr id="2" name="Rounded Rectangular Callout 1"/>
        <xdr:cNvSpPr/>
      </xdr:nvSpPr>
      <xdr:spPr>
        <a:xfrm>
          <a:off x="6410326" y="4800600"/>
          <a:ext cx="5200650" cy="295275"/>
        </a:xfrm>
        <a:prstGeom prst="wedgeRoundRectCallout">
          <a:avLst>
            <a:gd name="adj1" fmla="val 23188"/>
            <a:gd name="adj2" fmla="val -30060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Is there any short formula for this result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kshman\REPORT_OF_GAUR_CITY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"/>
      <sheetName val="lp2"/>
      <sheetName val="ALL Report"/>
      <sheetName val="GC 10"/>
      <sheetName val="GC 11"/>
      <sheetName val="GC 16"/>
      <sheetName val="PTM &amp; TPT"/>
      <sheetName val="Lo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F6">
            <v>1548000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pane xSplit="2" ySplit="2" topLeftCell="E3" activePane="bottomRight" state="frozen"/>
      <selection pane="topRight" activeCell="E1" sqref="E1"/>
      <selection pane="bottomLeft" activeCell="A3" sqref="A3"/>
      <selection pane="bottomRight" activeCell="N3" sqref="N3"/>
    </sheetView>
  </sheetViews>
  <sheetFormatPr defaultColWidth="9.140625" defaultRowHeight="18" customHeight="1"/>
  <cols>
    <col min="1" max="1" width="4.85546875" style="4" customWidth="1"/>
    <col min="2" max="2" width="8" style="4" customWidth="1"/>
    <col min="3" max="3" width="25" style="4" customWidth="1"/>
    <col min="4" max="4" width="13.42578125" style="4" customWidth="1"/>
    <col min="5" max="5" width="12.28515625" style="4" customWidth="1"/>
    <col min="6" max="6" width="11.42578125" style="4" customWidth="1"/>
    <col min="7" max="7" width="10.85546875" style="4" customWidth="1"/>
    <col min="8" max="8" width="12.85546875" style="4" customWidth="1"/>
    <col min="9" max="9" width="10.140625" style="4" customWidth="1"/>
    <col min="10" max="10" width="8.85546875" style="4" customWidth="1"/>
    <col min="11" max="11" width="9.28515625" style="4" customWidth="1"/>
    <col min="12" max="12" width="15.28515625" style="11" customWidth="1"/>
    <col min="13" max="13" width="11.28515625" style="11" customWidth="1"/>
    <col min="14" max="14" width="18.5703125" style="4" customWidth="1"/>
    <col min="15" max="16" width="10.42578125" style="4" bestFit="1" customWidth="1"/>
    <col min="17" max="16384" width="9.140625" style="4"/>
  </cols>
  <sheetData>
    <row r="1" spans="1:17" ht="36.75" customHeight="1">
      <c r="L1" s="19">
        <f ca="1">TODAY()</f>
        <v>40991</v>
      </c>
      <c r="M1" s="5"/>
      <c r="N1" s="4" t="s">
        <v>37</v>
      </c>
      <c r="O1" s="4" t="s">
        <v>11</v>
      </c>
      <c r="P1" s="4" t="s">
        <v>12</v>
      </c>
      <c r="Q1" s="4" t="s">
        <v>13</v>
      </c>
    </row>
    <row r="2" spans="1:17" s="18" customFormat="1" ht="67.5" customHeight="1">
      <c r="A2" s="12" t="s">
        <v>0</v>
      </c>
      <c r="B2" s="12" t="s">
        <v>14</v>
      </c>
      <c r="C2" s="13" t="s">
        <v>15</v>
      </c>
      <c r="D2" s="14" t="s">
        <v>1</v>
      </c>
      <c r="E2" s="15" t="s">
        <v>2</v>
      </c>
      <c r="F2" s="15" t="s">
        <v>3</v>
      </c>
      <c r="G2" s="15" t="s">
        <v>4</v>
      </c>
      <c r="H2" s="13" t="s">
        <v>5</v>
      </c>
      <c r="I2" s="13" t="s">
        <v>6</v>
      </c>
      <c r="J2" s="16" t="s">
        <v>7</v>
      </c>
      <c r="K2" s="16" t="s">
        <v>8</v>
      </c>
      <c r="L2" s="17" t="s">
        <v>9</v>
      </c>
      <c r="M2" s="17" t="s">
        <v>10</v>
      </c>
      <c r="O2" s="18">
        <v>1</v>
      </c>
      <c r="P2" s="18">
        <v>2</v>
      </c>
      <c r="Q2" s="18">
        <v>3</v>
      </c>
    </row>
    <row r="3" spans="1:17" ht="18" customHeight="1">
      <c r="A3" s="3">
        <v>1</v>
      </c>
      <c r="B3" s="3">
        <v>101</v>
      </c>
      <c r="C3" s="6" t="s">
        <v>16</v>
      </c>
      <c r="D3" s="7">
        <v>40366</v>
      </c>
      <c r="E3" s="2">
        <v>2528400</v>
      </c>
      <c r="F3" s="2">
        <f t="shared" ref="F3:F14" si="0">E3+J3+K3</f>
        <v>2528400</v>
      </c>
      <c r="G3" s="2">
        <f>50000+209351+204479+2000000</f>
        <v>2463830</v>
      </c>
      <c r="H3" s="2"/>
      <c r="I3" s="2">
        <v>1</v>
      </c>
      <c r="J3" s="8">
        <v>0</v>
      </c>
      <c r="K3" s="8"/>
      <c r="L3" s="9">
        <f t="shared" ref="L3:L14" ca="1" si="1">L$1-(IF(D3&lt;=DATE(2011,1,29),DATE(2011,1,29),D3))</f>
        <v>419</v>
      </c>
      <c r="M3" s="9">
        <f ca="1">(IF(AND(I3="f/p",L3&lt;=60),F3*10%,IF(AND(I3="f/p",L3&lt;=242),F3*40%,IF(AND(I3="f/p",L3&lt;=425),F3*55%,IF(AND(I3="f/p",L3&lt;=608),F3*70%,IF(AND(I3="f/p",L3&lt;=790),F3*85%,IF(AND(I3="f/p",L3&lt;=1200),F3*95%,IF(AND(I3="f/p",L3&lt;=1278),F3*100%,IF(AND(I3="i/p",L3&lt;=28),F3*5%,IF(AND(I3="i/p",L3&lt;=120),F3*15%,IF(AND(I3="i/p",L3&lt;=212),F3*25%,IF(AND(I3="i/p",L3&lt;=303),F3*35%,IF(AND(I3="i/p",L3&lt;=394),F3*45%,IF(AND(I3="i/p",L3&lt;=486),F3*55%,IF(AND(I3="i/p",L3&lt;=578),F3*65%,IF(AND(I3="i/p",L3&lt;=669),F3*75%,IF(AND(I3="i/p",L3&lt;=759),F3*85%,IF(AND(I3="i/p",L3&lt;=1200),F3*95%,IF(AND(I3="i/p",L3&lt;=1278),F3*100%,IF(AND(I3="d/p",L3&lt;=29),F3*10%,IF(AND(I3="d/p",L3&lt;=1000),F3*95%,IF(AND(I3="d/p",L3&lt;=1200),F3*95%,IF(AND(I3="d/p",L3&lt;=1278),F3*100%)))))))))))))))))))))))+((IF(AND(I3="f/p",L3&lt;=60),F3*10%,IF(AND(I3="f/p",L3&lt;=242),F3*40%,IF(AND(I3="f/p",L3&lt;=425),F3*55%,IF(AND(I3="f/p",L3&lt;=608),F3*70%,IF(AND(I3="f/p",L3&lt;=790),F3*85%,IF(AND(I3="f/p",L3&lt;=1200),F3*95%,IF(AND(I3="f/p",L3&lt;=1278),F3*100%,IF(AND(I3="i/p",L3&lt;=28),F3*5%,IF(AND(I3="i/p",L3&lt;=120),F3*15%,IF(AND(I3="i/p",L3&lt;=212),F3*25%,IF(AND(I3="i/p",L3&lt;=303),F3*35%,IF(AND(I3="i/p",L3&lt;=394),F3*45%,IF(AND(I3="i/p",L3&lt;=486),F3*55%,IF(AND(I3="i/p",L3&lt;=578),F3*65%,IF(AND(I3="i/p",L3&lt;=669),F3*75%,IF(AND(I3="i/p",L3&lt;=759),F3*85%,IF(AND(I3="i/p",L3&lt;=1200),F3*95%,IF(AND(I3="i/p",L3&lt;=1278),F3*100%,IF(AND(I3="d/p",L3&lt;=29),F3*10%,IF(AND(I3="d/p",L3&lt;=1000),F3*95%,IF(AND(I3="d/p",L3&lt;=1200),F3*95%,IF(AND(I3="d/p",L3&lt;=1278),F3*100%)))))))))))))))))))))))-H3)*2.575%-G3</f>
        <v>-2463830</v>
      </c>
      <c r="N3" s="32">
        <f ca="1">VLOOKUP(L3,CHOOSE(I3,Table1,Table2,Table3),2)-H3*2.575%-G3</f>
        <v>-2463829.6</v>
      </c>
    </row>
    <row r="4" spans="1:17" ht="18" customHeight="1">
      <c r="A4" s="3">
        <v>2</v>
      </c>
      <c r="B4" s="3">
        <v>102</v>
      </c>
      <c r="C4" s="6" t="s">
        <v>17</v>
      </c>
      <c r="D4" s="7">
        <v>40429</v>
      </c>
      <c r="E4" s="2">
        <v>3107580</v>
      </c>
      <c r="F4" s="2">
        <f t="shared" si="0"/>
        <v>3107580</v>
      </c>
      <c r="G4" s="2">
        <f>100000+56805+161955+159379+318760</f>
        <v>796899</v>
      </c>
      <c r="H4" s="2"/>
      <c r="I4" s="2">
        <v>2</v>
      </c>
      <c r="J4" s="8">
        <v>0</v>
      </c>
      <c r="K4" s="8"/>
      <c r="L4" s="9">
        <f t="shared" ca="1" si="1"/>
        <v>419</v>
      </c>
      <c r="M4" s="9">
        <f t="shared" ref="M3:M14" ca="1" si="2">(IF(AND(I4="f/p",L4&lt;=60),F4*10%,IF(AND(I4="f/p",L4&lt;=242),F4*40%,IF(AND(I4="f/p",L4&lt;=425),F4*55%,IF(AND(I4="f/p",L4&lt;=608),F4*70%,IF(AND(I4="f/p",L4&lt;=790),F4*85%,IF(AND(I4="f/p",L4&lt;=1200),F4*95%,IF(AND(I4="f/p",L4&lt;=1278),F4*100%,IF(AND(I4="i/p",L4&lt;=28),F4*5%,IF(AND(I4="i/p",L4&lt;=120),F4*15%,IF(AND(I4="i/p",L4&lt;=212),F4*25%,IF(AND(I4="i/p",L4&lt;=303),F4*35%,IF(AND(I4="i/p",L4&lt;=394),F4*45%,IF(AND(I4="i/p",L4&lt;=486),F4*55%,IF(AND(I4="i/p",L4&lt;=578),F4*65%,IF(AND(I4="i/p",L4&lt;=669),F4*75%,IF(AND(I4="i/p",L4&lt;=759),F4*85%,IF(AND(I4="i/p",L4&lt;=1200),F4*95%,IF(AND(I4="i/p",L4&lt;=1278),F4*100%,IF(AND(I4="d/p",L4&lt;=29),F4*10%,IF(AND(I4="d/p",L4&lt;=1000),F4*95%,IF(AND(I4="d/p",L4&lt;=1200),F4*95%,IF(AND(I4="d/p",L4&lt;=1278),F4*100%)))))))))))))))))))))))+((IF(AND(I4="f/p",L4&lt;=60),F4*10%,IF(AND(I4="f/p",L4&lt;=242),F4*40%,IF(AND(I4="f/p",L4&lt;=425),F4*55%,IF(AND(I4="f/p",L4&lt;=608),F4*70%,IF(AND(I4="f/p",L4&lt;=790),F4*85%,IF(AND(I4="f/p",L4&lt;=1200),F4*95%,IF(AND(I4="f/p",L4&lt;=1278),F4*100%,IF(AND(I4="i/p",L4&lt;=28),F4*5%,IF(AND(I4="i/p",L4&lt;=120),F4*15%,IF(AND(I4="i/p",L4&lt;=212),F4*25%,IF(AND(I4="i/p",L4&lt;=303),F4*35%,IF(AND(I4="i/p",L4&lt;=394),F4*45%,IF(AND(I4="i/p",L4&lt;=486),F4*55%,IF(AND(I4="i/p",L4&lt;=578),F4*65%,IF(AND(I4="i/p",L4&lt;=669),F4*75%,IF(AND(I4="i/p",L4&lt;=759),F4*85%,IF(AND(I4="i/p",L4&lt;=1200),F4*95%,IF(AND(I4="i/p",L4&lt;=1278),F4*100%,IF(AND(I4="d/p",L4&lt;=29),F4*10%,IF(AND(I4="d/p",L4&lt;=1000),F4*95%,IF(AND(I4="d/p",L4&lt;=1200),F4*95%,IF(AND(I4="d/p",L4&lt;=1278),F4*100%)))))))))))))))))))))))-H4)*2.575%-G4</f>
        <v>-796899</v>
      </c>
      <c r="N4" s="32">
        <f ca="1">VLOOKUP(L4,CHOOSE(I4,Table1,Table2,Table3),2)-H4*2.575%-G4</f>
        <v>-796898.55</v>
      </c>
      <c r="O4" s="10"/>
      <c r="P4" s="10"/>
    </row>
    <row r="5" spans="1:17" ht="18" customHeight="1">
      <c r="A5" s="3">
        <v>3</v>
      </c>
      <c r="B5" s="3">
        <v>103</v>
      </c>
      <c r="C5" s="6" t="s">
        <v>18</v>
      </c>
      <c r="D5" s="7">
        <v>40344</v>
      </c>
      <c r="E5" s="2">
        <v>2528400</v>
      </c>
      <c r="F5" s="2">
        <f t="shared" si="0"/>
        <v>2528400</v>
      </c>
      <c r="G5" s="2">
        <f>50000+208063+1290+128389+2074802</f>
        <v>2462544</v>
      </c>
      <c r="H5" s="2">
        <f>50000</f>
        <v>50000</v>
      </c>
      <c r="I5" s="2">
        <v>1</v>
      </c>
      <c r="J5" s="8">
        <v>0</v>
      </c>
      <c r="K5" s="8"/>
      <c r="L5" s="9">
        <f t="shared" ca="1" si="1"/>
        <v>419</v>
      </c>
      <c r="M5" s="9">
        <f t="shared" ca="1" si="2"/>
        <v>-2463831.5</v>
      </c>
      <c r="N5" s="32">
        <f ca="1">VLOOKUP(L5,CHOOSE(I5,Table1,Table2,Table3),2)-H5*2.575%-G5</f>
        <v>-2463831.1</v>
      </c>
    </row>
    <row r="6" spans="1:17" ht="18" customHeight="1">
      <c r="A6" s="3">
        <v>4</v>
      </c>
      <c r="B6" s="3">
        <v>104</v>
      </c>
      <c r="C6" s="6" t="s">
        <v>19</v>
      </c>
      <c r="D6" s="7">
        <v>40353</v>
      </c>
      <c r="E6" s="2">
        <v>2528400</v>
      </c>
      <c r="F6" s="2">
        <f t="shared" si="0"/>
        <v>2528400</v>
      </c>
      <c r="G6" s="2">
        <f>50000+209222+203321+2000000</f>
        <v>2462543</v>
      </c>
      <c r="H6" s="2">
        <f>50000</f>
        <v>50000</v>
      </c>
      <c r="I6" s="2">
        <v>1</v>
      </c>
      <c r="J6" s="8">
        <v>0</v>
      </c>
      <c r="K6" s="8"/>
      <c r="L6" s="9">
        <f t="shared" ca="1" si="1"/>
        <v>419</v>
      </c>
      <c r="M6" s="9">
        <f t="shared" ca="1" si="2"/>
        <v>-2463830.5</v>
      </c>
      <c r="N6" s="32">
        <f ca="1">VLOOKUP(L6,CHOOSE(I6,Table1,Table2,Table3),2)-H6*2.575%-G6</f>
        <v>-2463830.1</v>
      </c>
    </row>
    <row r="7" spans="1:17" ht="18" customHeight="1">
      <c r="A7" s="3">
        <v>5</v>
      </c>
      <c r="B7" s="3">
        <v>105</v>
      </c>
      <c r="C7" s="6" t="s">
        <v>20</v>
      </c>
      <c r="D7" s="7">
        <v>40332</v>
      </c>
      <c r="E7" s="2">
        <v>2793000</v>
      </c>
      <c r="F7" s="2">
        <f t="shared" si="0"/>
        <v>2793000</v>
      </c>
      <c r="G7" s="2">
        <f>50000+229300+6473+853004</f>
        <v>1138777</v>
      </c>
      <c r="H7" s="2">
        <f>50000+229300</f>
        <v>279300</v>
      </c>
      <c r="I7" s="2">
        <v>3</v>
      </c>
      <c r="J7" s="8">
        <v>0</v>
      </c>
      <c r="K7" s="8"/>
      <c r="L7" s="9">
        <f t="shared" ca="1" si="1"/>
        <v>419</v>
      </c>
      <c r="M7" s="9">
        <f t="shared" ca="1" si="2"/>
        <v>-1145968.9750000001</v>
      </c>
      <c r="N7" s="32">
        <f ca="1">VLOOKUP(L7,CHOOSE(I7,Table1,Table2,Table3),2)-H7*2.575%-G7</f>
        <v>-1145968.875</v>
      </c>
    </row>
    <row r="8" spans="1:17" ht="18" customHeight="1">
      <c r="A8" s="3">
        <v>6</v>
      </c>
      <c r="B8" s="3">
        <v>106</v>
      </c>
      <c r="C8" s="6" t="s">
        <v>21</v>
      </c>
      <c r="D8" s="7">
        <v>40326</v>
      </c>
      <c r="E8" s="2">
        <v>2793000</v>
      </c>
      <c r="F8" s="2">
        <f t="shared" si="0"/>
        <v>2793000</v>
      </c>
      <c r="G8" s="2">
        <f>50000+61363+175000+400000+458317</f>
        <v>1144680</v>
      </c>
      <c r="H8" s="2">
        <v>50000</v>
      </c>
      <c r="I8" s="2">
        <v>3</v>
      </c>
      <c r="J8" s="8">
        <v>0</v>
      </c>
      <c r="K8" s="8"/>
      <c r="L8" s="9">
        <f t="shared" ca="1" si="1"/>
        <v>419</v>
      </c>
      <c r="M8" s="9">
        <f t="shared" ca="1" si="2"/>
        <v>-1145967.5</v>
      </c>
      <c r="N8" s="32">
        <f ca="1">VLOOKUP(L8,CHOOSE(I8,Table1,Table2,Table3),2)-H8*2.575%-G8</f>
        <v>-1145967.3999999999</v>
      </c>
    </row>
    <row r="9" spans="1:17" ht="18" customHeight="1">
      <c r="A9" s="3">
        <v>7</v>
      </c>
      <c r="B9" s="3">
        <v>107</v>
      </c>
      <c r="C9" s="6" t="s">
        <v>22</v>
      </c>
      <c r="D9" s="7">
        <v>40347</v>
      </c>
      <c r="E9" s="2">
        <v>2793000</v>
      </c>
      <c r="F9" s="2">
        <f t="shared" si="0"/>
        <v>2793000</v>
      </c>
      <c r="G9" s="2">
        <f>280000+5771+852987+429738</f>
        <v>1568496</v>
      </c>
      <c r="H9" s="2">
        <f>280000</f>
        <v>280000</v>
      </c>
      <c r="I9" s="2">
        <v>3</v>
      </c>
      <c r="J9" s="1">
        <v>0</v>
      </c>
      <c r="K9" s="1"/>
      <c r="L9" s="9">
        <f t="shared" ca="1" si="1"/>
        <v>419</v>
      </c>
      <c r="M9" s="9">
        <f t="shared" ca="1" si="2"/>
        <v>-1575706</v>
      </c>
      <c r="N9" s="32">
        <f ca="1">VLOOKUP(L9,CHOOSE(I9,Table1,Table2,Table3),2)-H9*2.575%-G9</f>
        <v>-1575705.9</v>
      </c>
    </row>
    <row r="10" spans="1:17" ht="18" customHeight="1">
      <c r="A10" s="3">
        <v>8</v>
      </c>
      <c r="B10" s="3">
        <v>108</v>
      </c>
      <c r="C10" s="6" t="s">
        <v>23</v>
      </c>
      <c r="D10" s="7">
        <v>40357</v>
      </c>
      <c r="E10" s="2">
        <v>2528400</v>
      </c>
      <c r="F10" s="2">
        <f t="shared" si="0"/>
        <v>2528400</v>
      </c>
      <c r="G10" s="2">
        <f>50000+236363-236363+236363+206181+1970000</f>
        <v>2462544</v>
      </c>
      <c r="H10" s="2">
        <v>50000</v>
      </c>
      <c r="I10" s="2">
        <v>1</v>
      </c>
      <c r="J10" s="1">
        <v>0</v>
      </c>
      <c r="K10" s="1"/>
      <c r="L10" s="9">
        <f t="shared" ca="1" si="1"/>
        <v>419</v>
      </c>
      <c r="M10" s="9">
        <f t="shared" ca="1" si="2"/>
        <v>-2463831.5</v>
      </c>
      <c r="N10" s="32">
        <f ca="1">VLOOKUP(L10,CHOOSE(I10,Table1,Table2,Table3),2)-H10*2.575%-G10</f>
        <v>-2463831.1</v>
      </c>
    </row>
    <row r="11" spans="1:17" ht="18" customHeight="1">
      <c r="A11" s="3">
        <v>9</v>
      </c>
      <c r="B11" s="3">
        <v>237</v>
      </c>
      <c r="C11" s="6" t="s">
        <v>24</v>
      </c>
      <c r="D11" s="7">
        <v>40788</v>
      </c>
      <c r="E11" s="2">
        <v>1873175</v>
      </c>
      <c r="F11" s="2">
        <f t="shared" si="0"/>
        <v>2045000</v>
      </c>
      <c r="G11" s="2">
        <f>110000+204649</f>
        <v>314649</v>
      </c>
      <c r="H11" s="2"/>
      <c r="I11" s="2">
        <v>2</v>
      </c>
      <c r="J11" s="1">
        <v>100000</v>
      </c>
      <c r="K11" s="1">
        <v>71825</v>
      </c>
      <c r="L11" s="9">
        <f t="shared" ca="1" si="1"/>
        <v>203</v>
      </c>
      <c r="M11" s="9">
        <f t="shared" ca="1" si="2"/>
        <v>-314649</v>
      </c>
      <c r="N11" s="32">
        <f ca="1">VLOOKUP(L11,CHOOSE(I11,Table1,Table2,Table3),2)-H11*2.575%-G11</f>
        <v>-314648.84999999998</v>
      </c>
    </row>
    <row r="12" spans="1:17" ht="18" customHeight="1">
      <c r="A12" s="3">
        <v>10</v>
      </c>
      <c r="B12" s="3">
        <v>357</v>
      </c>
      <c r="C12" s="6" t="s">
        <v>25</v>
      </c>
      <c r="D12" s="7">
        <v>40637</v>
      </c>
      <c r="E12" s="2">
        <v>1669175</v>
      </c>
      <c r="F12" s="2">
        <f t="shared" si="0"/>
        <v>1841000</v>
      </c>
      <c r="G12" s="2">
        <f>190000+25000+540362</f>
        <v>755362</v>
      </c>
      <c r="H12" s="2"/>
      <c r="I12" s="2">
        <v>3</v>
      </c>
      <c r="J12" s="8">
        <v>100000</v>
      </c>
      <c r="K12" s="8">
        <v>71825</v>
      </c>
      <c r="L12" s="9">
        <f t="shared" ca="1" si="1"/>
        <v>354</v>
      </c>
      <c r="M12" s="9">
        <f t="shared" ca="1" si="2"/>
        <v>-755362</v>
      </c>
      <c r="N12" s="32">
        <f ca="1">VLOOKUP(L12,CHOOSE(I12,Table1,Table2,Table3),2)-H12*2.575%-G12</f>
        <v>-755361.9</v>
      </c>
    </row>
    <row r="13" spans="1:17" ht="18" customHeight="1">
      <c r="A13" s="3">
        <v>11</v>
      </c>
      <c r="B13" s="3">
        <v>1214</v>
      </c>
      <c r="C13" s="6" t="s">
        <v>26</v>
      </c>
      <c r="D13" s="7">
        <v>40390</v>
      </c>
      <c r="E13" s="2">
        <v>2091500</v>
      </c>
      <c r="F13" s="2">
        <f t="shared" si="0"/>
        <v>2091500</v>
      </c>
      <c r="G13" s="2">
        <f>50000+142850+128954+572543</f>
        <v>894347</v>
      </c>
      <c r="H13" s="2"/>
      <c r="I13" s="2">
        <v>3</v>
      </c>
      <c r="J13" s="8">
        <v>0</v>
      </c>
      <c r="K13" s="8"/>
      <c r="L13" s="9">
        <f t="shared" ca="1" si="1"/>
        <v>419</v>
      </c>
      <c r="M13" s="9">
        <f t="shared" ca="1" si="2"/>
        <v>-894347</v>
      </c>
      <c r="N13" s="32">
        <f ca="1">VLOOKUP(L13,CHOOSE(I13,Table1,Table2,Table3),2)-H13*2.575%-G13</f>
        <v>-894346.9</v>
      </c>
    </row>
    <row r="14" spans="1:17" ht="18" customHeight="1">
      <c r="A14" s="3">
        <v>12</v>
      </c>
      <c r="B14" s="3">
        <v>1215</v>
      </c>
      <c r="C14" s="6" t="s">
        <v>27</v>
      </c>
      <c r="D14" s="7">
        <v>40390</v>
      </c>
      <c r="E14" s="2">
        <v>1880000</v>
      </c>
      <c r="F14" s="2">
        <f t="shared" si="0"/>
        <v>1880000</v>
      </c>
      <c r="G14" s="2">
        <f>50000+142850+789149+850000</f>
        <v>1831999</v>
      </c>
      <c r="H14" s="2"/>
      <c r="I14" s="2">
        <v>1</v>
      </c>
      <c r="J14" s="8">
        <v>0</v>
      </c>
      <c r="K14" s="8"/>
      <c r="L14" s="9">
        <f t="shared" ca="1" si="1"/>
        <v>419</v>
      </c>
      <c r="M14" s="9">
        <f ca="1">(IF(AND(I14="f/p",L14&lt;=60),F14*10%,IF(AND(I14="f/p",L14&lt;=242),F14*40%,IF(AND(I14="f/p",L14&lt;=425),F14*55%,IF(AND(I14="f/p",L14&lt;=608),F14*70%,IF(AND(I14="f/p",L14&lt;=790),F14*85%,IF(AND(I14="f/p",L14&lt;=1200),F14*95%,IF(AND(I14="f/p",L14&lt;=1278),F14*100%,IF(AND(I14="i/p",L14&lt;=28),F14*5%,IF(AND(I14="i/p",L14&lt;=120),F14*15%,IF(AND(I14="i/p",L14&lt;=212),F14*25%,IF(AND(I14="i/p",L14&lt;=303),F14*35%,IF(AND(I14="i/p",L14&lt;=394),F14*45%,IF(AND(I14="i/p",L14&lt;=486),F14*55%,IF(AND(I14="i/p",L14&lt;=578),F14*65%,IF(AND(I14="i/p",L14&lt;=669),F14*75%,IF(AND(I14="i/p",L14&lt;=759),F14*85%,IF(AND(I14="i/p",L14&lt;=1200),F14*95%,IF(AND(I14="i/p",L14&lt;=1278),F14*100%,IF(AND(I14="d/p",L14&lt;=29),F14*10%,IF(AND(I14="d/p",L14&lt;=1000),F14*95%,IF(AND(I14="d/p",L14&lt;=1200),F14*95%,IF(AND(I14="d/p",L14&lt;=1278),F14*100%)))))))))))))))))))))))+((IF(AND(I14="f/p",L14&lt;=60),F14*10%,IF(AND(I14="f/p",L14&lt;=242),F14*40%,IF(AND(I14="f/p",L14&lt;=425),F14*55%,IF(AND(I14="f/p",L14&lt;=608),F14*70%,IF(AND(I14="f/p",L14&lt;=790),F14*85%,IF(AND(I14="f/p",L14&lt;=1200),F14*95%,IF(AND(I14="f/p",L14&lt;=1278),F14*100%,IF(AND(I14="i/p",L14&lt;=28),F14*5%,IF(AND(I14="i/p",L14&lt;=120),F14*15%,IF(AND(I14="i/p",L14&lt;=212),F14*25%,IF(AND(I14="i/p",L14&lt;=303),F14*35%,IF(AND(I14="i/p",L14&lt;=394),F14*45%,IF(AND(I14="i/p",L14&lt;=486),F14*55%,IF(AND(I14="i/p",L14&lt;=578),F14*65%,IF(AND(I14="i/p",L14&lt;=669),F14*75%,IF(AND(I14="i/p",L14&lt;=759),F14*85%,IF(AND(I14="i/p",L14&lt;=1200),F14*95%,IF(AND(I14="i/p",L14&lt;=1278),F14*100%,IF(AND(I14="d/p",L14&lt;=29),F14*10%,IF(AND(I14="d/p",L14&lt;=1000),F14*95%,IF(AND(I14="d/p",L14&lt;=1200),F14*95%,IF(AND(I14="d/p",L14&lt;=1278),F14*100%)))))))))))))))))))))))-H14)*2.575%-G14</f>
        <v>-1831999</v>
      </c>
      <c r="N14" s="32">
        <f ca="1">VLOOKUP(L14,CHOOSE(I14,Table1,Table2,Table3),2)-H14*2.575%-G14</f>
        <v>-1831998.6</v>
      </c>
    </row>
    <row r="26" spans="4:13" ht="18" customHeight="1">
      <c r="H26" s="31" t="s">
        <v>36</v>
      </c>
      <c r="I26" s="31"/>
      <c r="J26" s="31"/>
    </row>
    <row r="27" spans="4:13" ht="18" customHeight="1">
      <c r="F27" s="24" t="s">
        <v>33</v>
      </c>
    </row>
    <row r="28" spans="4:13" ht="18" customHeight="1">
      <c r="F28" s="4" t="s">
        <v>34</v>
      </c>
    </row>
    <row r="29" spans="4:13" ht="18" customHeight="1">
      <c r="D29" s="13" t="s">
        <v>6</v>
      </c>
      <c r="E29" s="28" t="s">
        <v>28</v>
      </c>
      <c r="F29" s="29"/>
      <c r="G29" s="30"/>
      <c r="H29" s="25" t="s">
        <v>29</v>
      </c>
      <c r="I29" s="26"/>
      <c r="J29" s="27"/>
      <c r="K29" s="25" t="s">
        <v>31</v>
      </c>
      <c r="L29" s="26"/>
      <c r="M29" s="27"/>
    </row>
    <row r="30" spans="4:13" ht="18" customHeight="1">
      <c r="D30" s="2" t="s">
        <v>11</v>
      </c>
      <c r="E30" s="21">
        <v>60</v>
      </c>
      <c r="F30" s="22">
        <v>0.1</v>
      </c>
      <c r="G30" s="21" t="s">
        <v>35</v>
      </c>
      <c r="H30" s="21">
        <v>28</v>
      </c>
      <c r="I30" s="22">
        <v>0.05</v>
      </c>
      <c r="J30" s="21" t="s">
        <v>30</v>
      </c>
      <c r="K30" s="21">
        <v>29</v>
      </c>
      <c r="L30" s="22">
        <v>0.1</v>
      </c>
      <c r="M30" s="21" t="s">
        <v>32</v>
      </c>
    </row>
    <row r="31" spans="4:13" ht="18" customHeight="1">
      <c r="D31" s="2" t="s">
        <v>12</v>
      </c>
      <c r="E31" s="21">
        <v>242</v>
      </c>
      <c r="F31" s="22">
        <v>0.4</v>
      </c>
      <c r="G31" s="21"/>
      <c r="H31" s="21">
        <v>120</v>
      </c>
      <c r="I31" s="22">
        <v>0.15</v>
      </c>
      <c r="J31" s="21"/>
      <c r="K31" s="21">
        <v>1000</v>
      </c>
      <c r="L31" s="22">
        <v>0.95</v>
      </c>
      <c r="M31" s="21"/>
    </row>
    <row r="32" spans="4:13" ht="18" customHeight="1">
      <c r="D32" s="2" t="s">
        <v>13</v>
      </c>
      <c r="E32" s="21">
        <v>425</v>
      </c>
      <c r="F32" s="22">
        <v>0.55000000000000004</v>
      </c>
      <c r="G32" s="21"/>
      <c r="H32" s="21">
        <v>212</v>
      </c>
      <c r="I32" s="22">
        <v>0.25</v>
      </c>
      <c r="J32" s="21"/>
      <c r="K32" s="21">
        <v>1200</v>
      </c>
      <c r="L32" s="22">
        <v>0.95</v>
      </c>
      <c r="M32" s="21"/>
    </row>
    <row r="33" spans="5:13" ht="18" customHeight="1">
      <c r="E33" s="21">
        <v>608</v>
      </c>
      <c r="F33" s="22">
        <v>0.7</v>
      </c>
      <c r="G33" s="21"/>
      <c r="H33" s="21">
        <v>303</v>
      </c>
      <c r="I33" s="22">
        <v>0.35</v>
      </c>
      <c r="J33" s="21"/>
      <c r="K33" s="21">
        <v>1278</v>
      </c>
      <c r="L33" s="22">
        <v>1</v>
      </c>
      <c r="M33" s="21"/>
    </row>
    <row r="34" spans="5:13" ht="18" customHeight="1">
      <c r="E34" s="21">
        <v>790</v>
      </c>
      <c r="F34" s="23">
        <v>0.85</v>
      </c>
      <c r="G34" s="21"/>
      <c r="H34" s="21">
        <v>394</v>
      </c>
      <c r="I34" s="23">
        <v>0.45</v>
      </c>
      <c r="J34" s="21"/>
      <c r="K34" s="21"/>
      <c r="L34" s="23"/>
      <c r="M34" s="21"/>
    </row>
    <row r="35" spans="5:13" ht="18" customHeight="1">
      <c r="E35" s="21">
        <v>1200</v>
      </c>
      <c r="F35" s="23">
        <v>0.95</v>
      </c>
      <c r="G35" s="21"/>
      <c r="H35" s="21">
        <v>486</v>
      </c>
      <c r="I35" s="23">
        <v>0.55000000000000004</v>
      </c>
      <c r="J35" s="21"/>
      <c r="K35" s="21"/>
      <c r="L35" s="23"/>
      <c r="M35" s="21"/>
    </row>
    <row r="36" spans="5:13" ht="18" customHeight="1">
      <c r="E36" s="21">
        <v>1278</v>
      </c>
      <c r="F36" s="23">
        <v>1</v>
      </c>
      <c r="G36" s="21"/>
      <c r="H36" s="21">
        <v>578</v>
      </c>
      <c r="I36" s="23">
        <v>0.65</v>
      </c>
      <c r="J36" s="21"/>
      <c r="K36" s="21"/>
      <c r="L36" s="23"/>
      <c r="M36" s="21"/>
    </row>
    <row r="37" spans="5:13" ht="18" customHeight="1">
      <c r="H37" s="21">
        <v>669</v>
      </c>
      <c r="I37" s="23">
        <f>70%</f>
        <v>0.7</v>
      </c>
      <c r="J37" s="21"/>
      <c r="L37" s="20"/>
      <c r="M37" s="4"/>
    </row>
    <row r="38" spans="5:13" ht="18" customHeight="1">
      <c r="H38" s="21">
        <v>759</v>
      </c>
      <c r="I38" s="23">
        <v>0.85</v>
      </c>
      <c r="J38" s="21"/>
      <c r="L38" s="20"/>
      <c r="M38" s="4"/>
    </row>
    <row r="39" spans="5:13" ht="18" customHeight="1">
      <c r="H39" s="21">
        <v>1200</v>
      </c>
      <c r="I39" s="23">
        <v>0.95</v>
      </c>
      <c r="J39" s="21"/>
      <c r="L39" s="20"/>
      <c r="M39" s="4"/>
    </row>
    <row r="40" spans="5:13" ht="18" customHeight="1">
      <c r="H40" s="21">
        <v>1278</v>
      </c>
      <c r="I40" s="23">
        <v>1</v>
      </c>
      <c r="J40" s="21"/>
      <c r="L40" s="20"/>
      <c r="M40" s="4"/>
    </row>
  </sheetData>
  <mergeCells count="1">
    <mergeCell ref="H26:J26"/>
  </mergeCells>
  <printOptions gridLines="1"/>
  <pageMargins left="0.18" right="0.17" top="0.35" bottom="0.3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GC 10</vt:lpstr>
      <vt:lpstr>'GC 10'!Extract</vt:lpstr>
      <vt:lpstr>Table1</vt:lpstr>
      <vt:lpstr>Table2</vt:lpstr>
      <vt:lpstr>Table3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LAkshman</dc:creator>
  <cp:lastModifiedBy>CoRe</cp:lastModifiedBy>
  <dcterms:created xsi:type="dcterms:W3CDTF">2012-03-23T07:05:08Z</dcterms:created>
  <dcterms:modified xsi:type="dcterms:W3CDTF">2012-03-23T10:27:02Z</dcterms:modified>
</cp:coreProperties>
</file>